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320" windowHeight="8160" tabRatio="641"/>
  </bookViews>
  <sheets>
    <sheet name="Prayas" sheetId="6" r:id="rId1"/>
    <sheet name="Own portfolio" sheetId="8" r:id="rId2"/>
    <sheet name="Manage portfolio-YBL" sheetId="9" r:id="rId3"/>
    <sheet name="Managed portfolio-MFL" sheetId="11" r:id="rId4"/>
    <sheet name="Charts" sheetId="4" r:id="rId5"/>
  </sheets>
  <definedNames>
    <definedName name="_xlnm.Print_Area" localSheetId="2">'Manage portfolio-YBL'!$A$1:$J$64</definedName>
    <definedName name="_xlnm.Print_Area" localSheetId="1">'Own portfolio'!$A$1:$X$64</definedName>
    <definedName name="_xlnm.Print_Titles" localSheetId="2">'Manage portfolio-YBL'!$3:$4</definedName>
    <definedName name="_xlnm.Print_Titles" localSheetId="1">'Own portfolio'!$3:$4</definedName>
  </definedNames>
  <calcPr calcId="145621"/>
  <fileRecoveryPr autoRecover="0"/>
</workbook>
</file>

<file path=xl/calcChain.xml><?xml version="1.0" encoding="utf-8"?>
<calcChain xmlns="http://schemas.openxmlformats.org/spreadsheetml/2006/main">
  <c r="U59" i="8" l="1"/>
  <c r="U58" i="8"/>
  <c r="V59" i="8"/>
  <c r="V58" i="8"/>
  <c r="L61" i="8"/>
  <c r="L59" i="8"/>
  <c r="L58" i="8"/>
  <c r="K25" i="8"/>
  <c r="K24" i="8"/>
  <c r="L24" i="8"/>
  <c r="V25" i="8"/>
  <c r="V24" i="8"/>
  <c r="K22" i="8" l="1"/>
  <c r="K21" i="8"/>
  <c r="K10" i="8"/>
  <c r="K9" i="8"/>
  <c r="K8" i="8"/>
  <c r="K7" i="8"/>
  <c r="K14" i="8"/>
  <c r="L14" i="8"/>
  <c r="L52" i="8" s="1"/>
  <c r="L10" i="8"/>
  <c r="L9" i="8"/>
  <c r="L8" i="8"/>
  <c r="L7" i="8"/>
  <c r="L55" i="8"/>
  <c r="I57" i="11"/>
  <c r="K59" i="8" s="1"/>
  <c r="I56" i="11"/>
  <c r="K58" i="8" s="1"/>
  <c r="L54" i="8"/>
  <c r="L27" i="8" s="1"/>
  <c r="L50" i="8"/>
  <c r="L43" i="8"/>
  <c r="L36" i="8"/>
  <c r="L23" i="8"/>
  <c r="L28" i="8" s="1"/>
  <c r="J56" i="11"/>
  <c r="J57" i="11"/>
  <c r="J21" i="11"/>
  <c r="J26" i="11" s="1"/>
  <c r="J17" i="11"/>
  <c r="J6" i="11"/>
  <c r="J12" i="11" s="1"/>
  <c r="L22" i="8"/>
  <c r="L21" i="8"/>
  <c r="U21" i="8"/>
  <c r="U22" i="8"/>
  <c r="V22" i="8"/>
  <c r="V21" i="8"/>
  <c r="U14" i="8"/>
  <c r="U9" i="8"/>
  <c r="U8" i="8"/>
  <c r="U7" i="8"/>
  <c r="V14" i="8"/>
  <c r="V9" i="8"/>
  <c r="V8" i="8"/>
  <c r="V7" i="8"/>
  <c r="L62" i="8" l="1"/>
  <c r="L6" i="8"/>
  <c r="L18" i="8" s="1"/>
  <c r="L15" i="8"/>
  <c r="L56" i="8"/>
  <c r="L53" i="8"/>
  <c r="L19" i="8"/>
  <c r="J16" i="11"/>
  <c r="J62" i="11"/>
  <c r="J14" i="11"/>
  <c r="L13" i="8" l="1"/>
  <c r="L16" i="8" s="1"/>
  <c r="J59" i="11"/>
  <c r="J60" i="11" s="1"/>
  <c r="J53" i="11"/>
  <c r="J51" i="11"/>
  <c r="J54" i="11"/>
  <c r="J52" i="11"/>
  <c r="J25" i="11" s="1"/>
  <c r="J50" i="11"/>
  <c r="V54" i="8"/>
  <c r="V27" i="8" s="1"/>
  <c r="V52" i="8"/>
  <c r="V50" i="8"/>
  <c r="V56" i="8" s="1"/>
  <c r="V43" i="8"/>
  <c r="V36" i="8"/>
  <c r="V23" i="8"/>
  <c r="V28" i="8" s="1"/>
  <c r="V15" i="8"/>
  <c r="V62" i="8"/>
  <c r="V6" i="8"/>
  <c r="L64" i="8" l="1"/>
  <c r="V13" i="8"/>
  <c r="V64" i="8" s="1"/>
  <c r="V18" i="8"/>
  <c r="V16" i="8"/>
  <c r="V19" i="8"/>
  <c r="V53" i="8"/>
  <c r="V55" i="8"/>
  <c r="X59" i="8" l="1"/>
  <c r="X58" i="8"/>
  <c r="W59" i="8"/>
  <c r="W58" i="8"/>
  <c r="T59" i="8"/>
  <c r="T58" i="8"/>
  <c r="S25" i="8"/>
  <c r="S24" i="8"/>
  <c r="S22" i="8"/>
  <c r="S21" i="8"/>
  <c r="S14" i="8"/>
  <c r="S7" i="8"/>
  <c r="R25" i="8"/>
  <c r="R24" i="8"/>
  <c r="R22" i="8"/>
  <c r="R21" i="8"/>
  <c r="R14" i="8"/>
  <c r="R7" i="8"/>
  <c r="Q25" i="8"/>
  <c r="Q24" i="8"/>
  <c r="Q22" i="8"/>
  <c r="Q21" i="8"/>
  <c r="Q14" i="8"/>
  <c r="Q8" i="8"/>
  <c r="Q7" i="8"/>
  <c r="P25" i="8"/>
  <c r="P24" i="8"/>
  <c r="P22" i="8"/>
  <c r="P21" i="8"/>
  <c r="P14" i="8"/>
  <c r="P10" i="8"/>
  <c r="P9" i="8"/>
  <c r="P8" i="8"/>
  <c r="P7" i="8"/>
  <c r="O25" i="8"/>
  <c r="O24" i="8"/>
  <c r="O22" i="8"/>
  <c r="O21" i="8"/>
  <c r="O14" i="8"/>
  <c r="O7" i="8"/>
  <c r="N59" i="8"/>
  <c r="N58" i="8"/>
  <c r="M25" i="8"/>
  <c r="M24" i="8"/>
  <c r="M22" i="8"/>
  <c r="M21" i="8"/>
  <c r="M14" i="8"/>
  <c r="M10" i="8"/>
  <c r="M9" i="8"/>
  <c r="M8" i="8"/>
  <c r="M7" i="8"/>
  <c r="J59" i="8"/>
  <c r="J58" i="8"/>
  <c r="I25" i="8" l="1"/>
  <c r="I24" i="8"/>
  <c r="I22" i="8"/>
  <c r="I21" i="8"/>
  <c r="I14" i="8"/>
  <c r="I10" i="8"/>
  <c r="I9" i="8"/>
  <c r="I8" i="8"/>
  <c r="I7" i="8"/>
  <c r="H25" i="8"/>
  <c r="H24" i="8"/>
  <c r="H14" i="8"/>
  <c r="H10" i="8"/>
  <c r="H9" i="8"/>
  <c r="H8" i="8"/>
  <c r="H7" i="8"/>
  <c r="G49" i="8"/>
  <c r="G42" i="8"/>
  <c r="G25" i="8"/>
  <c r="G24" i="8"/>
  <c r="G22" i="8"/>
  <c r="G21" i="8"/>
  <c r="G14" i="8"/>
  <c r="G10" i="8"/>
  <c r="G9" i="8"/>
  <c r="G8" i="8"/>
  <c r="G7" i="8"/>
  <c r="F25" i="8"/>
  <c r="F24" i="8"/>
  <c r="F22" i="8"/>
  <c r="F21" i="8"/>
  <c r="F14" i="8"/>
  <c r="F7" i="8"/>
  <c r="E59" i="8"/>
  <c r="E58" i="8"/>
  <c r="D25" i="8"/>
  <c r="D24" i="8"/>
  <c r="D22" i="8"/>
  <c r="D21" i="8"/>
  <c r="D14" i="8"/>
  <c r="D10" i="8"/>
  <c r="D9" i="8"/>
  <c r="D8" i="8"/>
  <c r="D7" i="8"/>
  <c r="P57" i="11"/>
  <c r="S59" i="8" s="1"/>
  <c r="P56" i="11"/>
  <c r="S58" i="8" s="1"/>
  <c r="N57" i="11"/>
  <c r="Q59" i="8" s="1"/>
  <c r="N56" i="11"/>
  <c r="Q58" i="8" s="1"/>
  <c r="L57" i="11" l="1"/>
  <c r="O59" i="8" s="1"/>
  <c r="L56" i="11"/>
  <c r="O58" i="8" s="1"/>
  <c r="K57" i="11"/>
  <c r="M59" i="8" s="1"/>
  <c r="K56" i="11"/>
  <c r="M58" i="8" s="1"/>
  <c r="H57" i="11" l="1"/>
  <c r="I59" i="8" s="1"/>
  <c r="H56" i="11"/>
  <c r="I58" i="8" s="1"/>
  <c r="F57" i="11"/>
  <c r="G59" i="8" s="1"/>
  <c r="F56" i="11"/>
  <c r="G58" i="8" s="1"/>
  <c r="D57" i="11"/>
  <c r="D59" i="8" s="1"/>
  <c r="D56" i="11"/>
  <c r="D58" i="8" s="1"/>
  <c r="Q39" i="4" l="1"/>
  <c r="C75" i="6" l="1"/>
  <c r="Q54" i="8" l="1"/>
  <c r="Q27" i="8" s="1"/>
  <c r="Q50" i="8"/>
  <c r="Q43" i="8"/>
  <c r="Q36" i="8"/>
  <c r="Q6" i="8"/>
  <c r="Q13" i="8" s="1"/>
  <c r="Q64" i="8" s="1"/>
  <c r="C20" i="11"/>
  <c r="C19" i="11"/>
  <c r="C7" i="11"/>
  <c r="C8" i="11"/>
  <c r="C9" i="11"/>
  <c r="C10" i="11"/>
  <c r="C13" i="11"/>
  <c r="C15" i="11"/>
  <c r="C22" i="11"/>
  <c r="C23" i="11"/>
  <c r="C29" i="11"/>
  <c r="C30" i="11"/>
  <c r="C31" i="11"/>
  <c r="C32" i="11"/>
  <c r="C33" i="11"/>
  <c r="C36" i="11"/>
  <c r="C37" i="11"/>
  <c r="C38" i="11"/>
  <c r="C39" i="11"/>
  <c r="C40" i="11"/>
  <c r="C43" i="11"/>
  <c r="C44" i="11"/>
  <c r="C45" i="11"/>
  <c r="C46" i="11"/>
  <c r="C47" i="11"/>
  <c r="C61" i="11"/>
  <c r="P21" i="11"/>
  <c r="P26" i="11" s="1"/>
  <c r="P17" i="11"/>
  <c r="P6" i="11"/>
  <c r="P12" i="11" s="1"/>
  <c r="Q23" i="8" l="1"/>
  <c r="Q28" i="8" s="1"/>
  <c r="Q62" i="8"/>
  <c r="Q52" i="8"/>
  <c r="Q56" i="8"/>
  <c r="Q15" i="8"/>
  <c r="Q18" i="8"/>
  <c r="Q16" i="8"/>
  <c r="Q19" i="8"/>
  <c r="Q53" i="8"/>
  <c r="Q55" i="8"/>
  <c r="P62" i="11"/>
  <c r="P16" i="11"/>
  <c r="P14" i="11"/>
  <c r="P59" i="11" l="1"/>
  <c r="P60" i="11" s="1"/>
  <c r="P53" i="11"/>
  <c r="P51" i="11"/>
  <c r="P54" i="11"/>
  <c r="P52" i="11"/>
  <c r="P25" i="11" s="1"/>
  <c r="P50" i="11"/>
  <c r="E6" i="8"/>
  <c r="C41" i="11"/>
  <c r="C34" i="11"/>
  <c r="O57" i="11"/>
  <c r="R59" i="8" s="1"/>
  <c r="O56" i="11"/>
  <c r="R58" i="8" s="1"/>
  <c r="O21" i="11"/>
  <c r="O26" i="11" s="1"/>
  <c r="O17" i="11"/>
  <c r="O6" i="11"/>
  <c r="O12" i="11" s="1"/>
  <c r="O14" i="11" s="1"/>
  <c r="N21" i="11"/>
  <c r="N26" i="11" s="1"/>
  <c r="N17" i="11"/>
  <c r="N6" i="11"/>
  <c r="N12" i="11" s="1"/>
  <c r="M57" i="11"/>
  <c r="P59" i="8" s="1"/>
  <c r="M56" i="11"/>
  <c r="P58" i="8" s="1"/>
  <c r="L21" i="11"/>
  <c r="I21" i="11"/>
  <c r="I26" i="11" s="1"/>
  <c r="I17" i="11"/>
  <c r="I6" i="11"/>
  <c r="I12" i="11" s="1"/>
  <c r="I14" i="11" s="1"/>
  <c r="H21" i="11"/>
  <c r="G57" i="11"/>
  <c r="H59" i="8" s="1"/>
  <c r="G56" i="11"/>
  <c r="H58" i="8" s="1"/>
  <c r="E57" i="11"/>
  <c r="F59" i="8" s="1"/>
  <c r="E56" i="11"/>
  <c r="F58" i="8" s="1"/>
  <c r="E21" i="11"/>
  <c r="E26" i="11" s="1"/>
  <c r="E17" i="11"/>
  <c r="E6" i="11"/>
  <c r="E12" i="11" s="1"/>
  <c r="E14" i="11" s="1"/>
  <c r="C57" i="11"/>
  <c r="M6" i="11"/>
  <c r="L6" i="11"/>
  <c r="K6" i="11"/>
  <c r="H6" i="11"/>
  <c r="G6" i="11"/>
  <c r="F6" i="11"/>
  <c r="D6" i="11"/>
  <c r="D21" i="11"/>
  <c r="D17" i="11"/>
  <c r="O62" i="11" l="1"/>
  <c r="D12" i="11"/>
  <c r="D16" i="11" s="1"/>
  <c r="C6" i="11"/>
  <c r="D26" i="11"/>
  <c r="C56" i="11"/>
  <c r="O54" i="11"/>
  <c r="O52" i="11"/>
  <c r="O25" i="11" s="1"/>
  <c r="O50" i="11"/>
  <c r="O59" i="11"/>
  <c r="O60" i="11" s="1"/>
  <c r="O53" i="11"/>
  <c r="O51" i="11"/>
  <c r="O16" i="11"/>
  <c r="N62" i="11"/>
  <c r="N16" i="11"/>
  <c r="N14" i="11"/>
  <c r="I54" i="11"/>
  <c r="I52" i="11"/>
  <c r="I25" i="11" s="1"/>
  <c r="I50" i="11"/>
  <c r="I59" i="11"/>
  <c r="I60" i="11" s="1"/>
  <c r="I53" i="11"/>
  <c r="I51" i="11"/>
  <c r="I16" i="11"/>
  <c r="I62" i="11"/>
  <c r="E54" i="11"/>
  <c r="E52" i="11"/>
  <c r="E25" i="11" s="1"/>
  <c r="E50" i="11"/>
  <c r="E59" i="11"/>
  <c r="E60" i="11" s="1"/>
  <c r="E53" i="11"/>
  <c r="E51" i="11"/>
  <c r="E16" i="11"/>
  <c r="E62" i="11"/>
  <c r="D14" i="11" l="1"/>
  <c r="D62" i="11"/>
  <c r="N59" i="11"/>
  <c r="N60" i="11" s="1"/>
  <c r="N53" i="11"/>
  <c r="N51" i="11"/>
  <c r="N54" i="11"/>
  <c r="N52" i="11"/>
  <c r="N25" i="11" s="1"/>
  <c r="N50" i="11"/>
  <c r="D54" i="11" l="1"/>
  <c r="D52" i="11"/>
  <c r="D25" i="11" s="1"/>
  <c r="D59" i="11"/>
  <c r="D51" i="11"/>
  <c r="D50" i="11"/>
  <c r="D53" i="11"/>
  <c r="D60" i="11" l="1"/>
  <c r="Q38" i="4"/>
  <c r="C21" i="9"/>
  <c r="C20" i="9"/>
  <c r="C14" i="9"/>
  <c r="H63" i="8" l="1"/>
  <c r="G63" i="8"/>
  <c r="S62" i="8"/>
  <c r="S55" i="8"/>
  <c r="S54" i="8"/>
  <c r="S27" i="8" s="1"/>
  <c r="S53" i="8"/>
  <c r="S52" i="8"/>
  <c r="S50" i="8"/>
  <c r="S56" i="8" s="1"/>
  <c r="S43" i="8"/>
  <c r="S23" i="8" s="1"/>
  <c r="S28" i="8" s="1"/>
  <c r="S36" i="8"/>
  <c r="S19" i="8"/>
  <c r="S15" i="8"/>
  <c r="S6" i="8"/>
  <c r="S18" i="8" s="1"/>
  <c r="R62" i="8"/>
  <c r="R55" i="8"/>
  <c r="R54" i="8"/>
  <c r="R27" i="8" s="1"/>
  <c r="R53" i="8"/>
  <c r="R52" i="8"/>
  <c r="R50" i="8"/>
  <c r="R56" i="8" s="1"/>
  <c r="R43" i="8"/>
  <c r="R23" i="8" s="1"/>
  <c r="R28" i="8" s="1"/>
  <c r="R36" i="8"/>
  <c r="R19" i="8"/>
  <c r="R15" i="8"/>
  <c r="R6" i="8"/>
  <c r="J59" i="9"/>
  <c r="J58" i="9"/>
  <c r="I59" i="9"/>
  <c r="I58" i="9"/>
  <c r="R13" i="8" l="1"/>
  <c r="R16" i="8" s="1"/>
  <c r="R18" i="8"/>
  <c r="S13" i="8"/>
  <c r="C14" i="8"/>
  <c r="E61" i="8"/>
  <c r="R64" i="8" l="1"/>
  <c r="S64" i="8"/>
  <c r="S16" i="8"/>
  <c r="Q37" i="4" l="1"/>
  <c r="D24" i="9" l="1"/>
  <c r="Q36" i="4" l="1"/>
  <c r="K61" i="8" l="1"/>
  <c r="Q35" i="4" l="1"/>
  <c r="L26" i="11" l="1"/>
  <c r="L17" i="11"/>
  <c r="L12" i="11"/>
  <c r="L14" i="11" s="1"/>
  <c r="L54" i="11" l="1"/>
  <c r="L52" i="11"/>
  <c r="L25" i="11" s="1"/>
  <c r="L50" i="11"/>
  <c r="L59" i="11"/>
  <c r="L60" i="11" s="1"/>
  <c r="L53" i="11"/>
  <c r="L51" i="11"/>
  <c r="L16" i="11"/>
  <c r="L62" i="11"/>
  <c r="M21" i="11" l="1"/>
  <c r="K21" i="11"/>
  <c r="G21" i="11"/>
  <c r="K26" i="11" l="1"/>
  <c r="G26" i="11"/>
  <c r="H26" i="11"/>
  <c r="M26" i="11"/>
  <c r="F21" i="11"/>
  <c r="M17" i="11"/>
  <c r="K17" i="11"/>
  <c r="H17" i="11"/>
  <c r="G17" i="11"/>
  <c r="F17" i="11"/>
  <c r="G12" i="11"/>
  <c r="G14" i="11" s="1"/>
  <c r="G59" i="11" s="1"/>
  <c r="G60" i="11" s="1"/>
  <c r="H12" i="11"/>
  <c r="H14" i="11" s="1"/>
  <c r="H59" i="11" s="1"/>
  <c r="H60" i="11" s="1"/>
  <c r="K12" i="11"/>
  <c r="K62" i="11" s="1"/>
  <c r="M12" i="11"/>
  <c r="M62" i="11" s="1"/>
  <c r="F12" i="11"/>
  <c r="F62" i="11" l="1"/>
  <c r="C12" i="11"/>
  <c r="C14" i="11" s="1"/>
  <c r="F26" i="11"/>
  <c r="C21" i="11"/>
  <c r="E20" i="6"/>
  <c r="G52" i="11"/>
  <c r="G25" i="11" s="1"/>
  <c r="H53" i="11"/>
  <c r="G54" i="11"/>
  <c r="G50" i="11"/>
  <c r="H62" i="11"/>
  <c r="H50" i="11"/>
  <c r="G51" i="11"/>
  <c r="H52" i="11"/>
  <c r="H25" i="11" s="1"/>
  <c r="G53" i="11"/>
  <c r="H54" i="11"/>
  <c r="G62" i="11"/>
  <c r="H51" i="11"/>
  <c r="M14" i="11"/>
  <c r="M16" i="11"/>
  <c r="K14" i="11"/>
  <c r="K16" i="11"/>
  <c r="H16" i="11"/>
  <c r="G16" i="11"/>
  <c r="F14" i="11"/>
  <c r="F16" i="11"/>
  <c r="C2" i="11"/>
  <c r="C62" i="11" l="1"/>
  <c r="C54" i="11"/>
  <c r="F59" i="11"/>
  <c r="F52" i="11"/>
  <c r="F25" i="11" s="1"/>
  <c r="F50" i="11"/>
  <c r="F53" i="11"/>
  <c r="F51" i="11"/>
  <c r="F54" i="11"/>
  <c r="K52" i="11"/>
  <c r="K25" i="11" s="1"/>
  <c r="K50" i="11"/>
  <c r="K59" i="11"/>
  <c r="K60" i="11" s="1"/>
  <c r="K53" i="11"/>
  <c r="K51" i="11"/>
  <c r="K54" i="11"/>
  <c r="M53" i="11"/>
  <c r="M54" i="11"/>
  <c r="M52" i="11"/>
  <c r="M25" i="11" s="1"/>
  <c r="M50" i="11"/>
  <c r="M59" i="11"/>
  <c r="M60" i="11" s="1"/>
  <c r="M51" i="11"/>
  <c r="C48" i="11"/>
  <c r="C50" i="11"/>
  <c r="C51" i="11"/>
  <c r="C52" i="11"/>
  <c r="C53" i="11"/>
  <c r="C59" i="11" l="1"/>
  <c r="F60" i="11"/>
  <c r="C60" i="11" s="1"/>
  <c r="Q31" i="4" l="1"/>
  <c r="Q33" i="4"/>
  <c r="D25" i="9" l="1"/>
  <c r="E24" i="9"/>
  <c r="E25" i="9" s="1"/>
  <c r="F24" i="9"/>
  <c r="F25" i="9" s="1"/>
  <c r="G24" i="9"/>
  <c r="G25" i="9" s="1"/>
  <c r="H24" i="9"/>
  <c r="H25" i="9" s="1"/>
  <c r="I24" i="9"/>
  <c r="I25" i="9" s="1"/>
  <c r="J24" i="9"/>
  <c r="J25" i="9" s="1"/>
  <c r="C25" i="9" l="1"/>
  <c r="E24" i="6" s="1"/>
  <c r="D6" i="8"/>
  <c r="M19" i="8" l="1"/>
  <c r="C2" i="8"/>
  <c r="I43" i="8"/>
  <c r="I23" i="8" s="1"/>
  <c r="I6" i="8"/>
  <c r="J6" i="8" l="1"/>
  <c r="D18" i="8" l="1"/>
  <c r="H56" i="9" l="1"/>
  <c r="D52" i="9"/>
  <c r="E52" i="9"/>
  <c r="E55" i="9"/>
  <c r="E54" i="9"/>
  <c r="E53" i="9"/>
  <c r="F6" i="8" l="1"/>
  <c r="F18" i="8" s="1"/>
  <c r="C2" i="9" l="1"/>
  <c r="E56" i="9"/>
  <c r="H59" i="9"/>
  <c r="H58" i="9"/>
  <c r="X6" i="8"/>
  <c r="C58" i="8"/>
  <c r="C10" i="8"/>
  <c r="C7" i="8"/>
  <c r="C59" i="8"/>
  <c r="C21" i="8"/>
  <c r="C45" i="8"/>
  <c r="C38" i="8"/>
  <c r="C39" i="8"/>
  <c r="C40" i="8"/>
  <c r="C41" i="8"/>
  <c r="C42" i="8"/>
  <c r="C63" i="8"/>
  <c r="C49" i="8"/>
  <c r="C48" i="8"/>
  <c r="C47" i="8"/>
  <c r="C46" i="8"/>
  <c r="C35" i="8"/>
  <c r="C34" i="8"/>
  <c r="C33" i="8"/>
  <c r="C32" i="8"/>
  <c r="C31" i="8"/>
  <c r="C22" i="8"/>
  <c r="C9" i="8"/>
  <c r="C8" i="8"/>
  <c r="X50" i="8"/>
  <c r="X56" i="8" s="1"/>
  <c r="X43" i="8"/>
  <c r="X36" i="8"/>
  <c r="W54" i="8"/>
  <c r="W27" i="8" s="1"/>
  <c r="W52" i="8"/>
  <c r="W50" i="8"/>
  <c r="W56" i="8" s="1"/>
  <c r="W43" i="8"/>
  <c r="W36" i="8"/>
  <c r="W15" i="8"/>
  <c r="W55" i="8"/>
  <c r="W6" i="8"/>
  <c r="W13" i="8" s="1"/>
  <c r="O54" i="8"/>
  <c r="O27" i="8" s="1"/>
  <c r="O52" i="8"/>
  <c r="O50" i="8"/>
  <c r="O56" i="8" s="1"/>
  <c r="O43" i="8"/>
  <c r="O23" i="8" s="1"/>
  <c r="O28" i="8" s="1"/>
  <c r="O36" i="8"/>
  <c r="O15" i="8"/>
  <c r="O55" i="8"/>
  <c r="O6" i="8"/>
  <c r="O13" i="8" s="1"/>
  <c r="O64" i="8" s="1"/>
  <c r="F55" i="8"/>
  <c r="F54" i="8"/>
  <c r="F27" i="8" s="1"/>
  <c r="F53" i="8"/>
  <c r="F52" i="8"/>
  <c r="F50" i="8"/>
  <c r="F56" i="8" s="1"/>
  <c r="F43" i="8"/>
  <c r="F23" i="8" s="1"/>
  <c r="F28" i="8" s="1"/>
  <c r="F36" i="8"/>
  <c r="F19" i="8"/>
  <c r="F15" i="8"/>
  <c r="F13" i="8"/>
  <c r="F16" i="8" s="1"/>
  <c r="F61" i="8" l="1"/>
  <c r="F62" i="8" s="1"/>
  <c r="W23" i="8"/>
  <c r="W28" i="8" s="1"/>
  <c r="C36" i="8"/>
  <c r="C25" i="8"/>
  <c r="C24" i="8"/>
  <c r="C50" i="8"/>
  <c r="X19" i="8"/>
  <c r="X53" i="8"/>
  <c r="X55" i="8"/>
  <c r="X15" i="8"/>
  <c r="X23" i="8"/>
  <c r="X28" i="8" s="1"/>
  <c r="X52" i="8"/>
  <c r="X54" i="8"/>
  <c r="X27" i="8" s="1"/>
  <c r="W64" i="8"/>
  <c r="W18" i="8"/>
  <c r="W16" i="8"/>
  <c r="W62" i="8" s="1"/>
  <c r="W19" i="8"/>
  <c r="W53" i="8"/>
  <c r="O18" i="8"/>
  <c r="O16" i="8"/>
  <c r="O61" i="8" s="1"/>
  <c r="O62" i="8" s="1"/>
  <c r="O19" i="8"/>
  <c r="O53" i="8"/>
  <c r="F64" i="8"/>
  <c r="Q32" i="4"/>
  <c r="E36" i="9" l="1"/>
  <c r="E43" i="9"/>
  <c r="E50" i="9"/>
  <c r="J50" i="8" l="1"/>
  <c r="I50" i="8"/>
  <c r="H50" i="8"/>
  <c r="E59" i="9" l="1"/>
  <c r="E58" i="9"/>
  <c r="Q30" i="4" l="1"/>
  <c r="G59" i="9" l="1"/>
  <c r="G58" i="9"/>
  <c r="F59" i="9"/>
  <c r="F58" i="9"/>
  <c r="G56" i="9" l="1"/>
  <c r="Q29" i="4" l="1"/>
  <c r="D59" i="9" l="1"/>
  <c r="D58" i="9"/>
  <c r="P36" i="8"/>
  <c r="T6" i="8" l="1"/>
  <c r="C59" i="9" l="1"/>
  <c r="E58" i="6" s="1"/>
  <c r="C58" i="9"/>
  <c r="E57" i="6" s="1"/>
  <c r="C49" i="9"/>
  <c r="E48" i="6" s="1"/>
  <c r="C48" i="9"/>
  <c r="E47" i="6" s="1"/>
  <c r="C47" i="9"/>
  <c r="E46" i="6" s="1"/>
  <c r="C46" i="9"/>
  <c r="E45" i="6" s="1"/>
  <c r="C45" i="9"/>
  <c r="E44" i="6" s="1"/>
  <c r="C42" i="9"/>
  <c r="C41" i="9"/>
  <c r="C40" i="9"/>
  <c r="C39" i="9"/>
  <c r="C38" i="9"/>
  <c r="C35" i="9"/>
  <c r="E34" i="6" s="1"/>
  <c r="C34" i="9"/>
  <c r="E33" i="6" s="1"/>
  <c r="C33" i="9"/>
  <c r="E32" i="6" s="1"/>
  <c r="C32" i="9"/>
  <c r="E31" i="6" s="1"/>
  <c r="C31" i="9"/>
  <c r="E30" i="6" s="1"/>
  <c r="C23" i="9"/>
  <c r="E23" i="6" s="1"/>
  <c r="E21" i="6"/>
  <c r="C16" i="9"/>
  <c r="E16" i="6" s="1"/>
  <c r="C10" i="9"/>
  <c r="E10" i="6" s="1"/>
  <c r="C9" i="9"/>
  <c r="E9" i="6" s="1"/>
  <c r="C8" i="9"/>
  <c r="E8" i="6" s="1"/>
  <c r="C7" i="9"/>
  <c r="E7" i="6" s="1"/>
  <c r="J6" i="9"/>
  <c r="J13" i="9" s="1"/>
  <c r="J64" i="9" s="1"/>
  <c r="Q28" i="4" l="1"/>
  <c r="Q27" i="4" l="1"/>
  <c r="J56" i="9" l="1"/>
  <c r="I56" i="9"/>
  <c r="F56" i="9"/>
  <c r="D56" i="9"/>
  <c r="J55" i="9"/>
  <c r="I55" i="9"/>
  <c r="H55" i="9"/>
  <c r="G55" i="9"/>
  <c r="F55" i="9"/>
  <c r="D55" i="9"/>
  <c r="J54" i="9"/>
  <c r="I54" i="9"/>
  <c r="H54" i="9"/>
  <c r="G54" i="9"/>
  <c r="F54" i="9"/>
  <c r="D54" i="9"/>
  <c r="J53" i="9"/>
  <c r="I53" i="9"/>
  <c r="H53" i="9"/>
  <c r="G53" i="9"/>
  <c r="F53" i="9"/>
  <c r="D53" i="9"/>
  <c r="J52" i="9"/>
  <c r="I52" i="9"/>
  <c r="H52" i="9"/>
  <c r="G52" i="9"/>
  <c r="F52" i="9"/>
  <c r="U55" i="8"/>
  <c r="T55" i="8"/>
  <c r="P55" i="8"/>
  <c r="N55" i="8"/>
  <c r="M55" i="8"/>
  <c r="K55" i="8"/>
  <c r="J55" i="8"/>
  <c r="I55" i="8"/>
  <c r="H55" i="8"/>
  <c r="G55" i="8"/>
  <c r="E55" i="8"/>
  <c r="D55" i="8"/>
  <c r="U54" i="8"/>
  <c r="T54" i="8"/>
  <c r="P54" i="8"/>
  <c r="N54" i="8"/>
  <c r="M54" i="8"/>
  <c r="K54" i="8"/>
  <c r="J54" i="8"/>
  <c r="I54" i="8"/>
  <c r="H54" i="8"/>
  <c r="G54" i="8"/>
  <c r="E54" i="8"/>
  <c r="D54" i="8"/>
  <c r="D27" i="8" s="1"/>
  <c r="U53" i="8"/>
  <c r="T53" i="8"/>
  <c r="P53" i="8"/>
  <c r="N53" i="8"/>
  <c r="M53" i="8"/>
  <c r="K53" i="8"/>
  <c r="J53" i="8"/>
  <c r="I53" i="8"/>
  <c r="H53" i="8"/>
  <c r="G53" i="8"/>
  <c r="E53" i="8"/>
  <c r="D53" i="8"/>
  <c r="U52" i="8"/>
  <c r="T52" i="8"/>
  <c r="P52" i="8"/>
  <c r="N52" i="8"/>
  <c r="M52" i="8"/>
  <c r="K52" i="8"/>
  <c r="J52" i="8"/>
  <c r="I52" i="8"/>
  <c r="H52" i="8"/>
  <c r="G52" i="8"/>
  <c r="E52" i="8"/>
  <c r="D52" i="8"/>
  <c r="J50" i="9" l="1"/>
  <c r="J43" i="9"/>
  <c r="J36" i="9"/>
  <c r="J27" i="9"/>
  <c r="J18" i="9"/>
  <c r="J17" i="9"/>
  <c r="J15" i="9"/>
  <c r="J61" i="9" s="1"/>
  <c r="J62" i="9" s="1"/>
  <c r="J22" i="9" l="1"/>
  <c r="J28" i="9" s="1"/>
  <c r="C17" i="8"/>
  <c r="C19" i="8" l="1"/>
  <c r="H6" i="9"/>
  <c r="H13" i="9" s="1"/>
  <c r="H64" i="9" s="1"/>
  <c r="E50" i="8"/>
  <c r="I50" i="9"/>
  <c r="H50" i="9"/>
  <c r="I43" i="9"/>
  <c r="H43" i="9"/>
  <c r="I36" i="9"/>
  <c r="H36" i="9"/>
  <c r="I18" i="9"/>
  <c r="H18" i="9"/>
  <c r="I6" i="9"/>
  <c r="I13" i="9" s="1"/>
  <c r="I22" i="9" l="1"/>
  <c r="I28" i="9" s="1"/>
  <c r="I63" i="9"/>
  <c r="H22" i="9"/>
  <c r="H28" i="9" s="1"/>
  <c r="C36" i="9"/>
  <c r="I15" i="9"/>
  <c r="I17" i="9"/>
  <c r="H15" i="9"/>
  <c r="H61" i="9" s="1"/>
  <c r="H62" i="9" s="1"/>
  <c r="H17" i="9"/>
  <c r="I27" i="9"/>
  <c r="H27" i="9"/>
  <c r="I64" i="9" l="1"/>
  <c r="C63" i="9"/>
  <c r="E62" i="6" s="1"/>
  <c r="I61" i="9"/>
  <c r="I62" i="9" s="1"/>
  <c r="C24" i="9"/>
  <c r="K6" i="8"/>
  <c r="J18" i="8"/>
  <c r="Q25" i="4" l="1"/>
  <c r="N6" i="8" l="1"/>
  <c r="N43" i="8"/>
  <c r="N23" i="8" s="1"/>
  <c r="M43" i="8"/>
  <c r="M23" i="8" s="1"/>
  <c r="Q24" i="4" l="1"/>
  <c r="Q23" i="4"/>
  <c r="Q22" i="4"/>
  <c r="T43" i="8" l="1"/>
  <c r="T23" i="8" s="1"/>
  <c r="H6" i="8" l="1"/>
  <c r="D36" i="9" l="1"/>
  <c r="U36" i="8"/>
  <c r="T36" i="8"/>
  <c r="U15" i="8" l="1"/>
  <c r="T15" i="8"/>
  <c r="P15" i="8"/>
  <c r="N15" i="8"/>
  <c r="E15" i="8"/>
  <c r="D15" i="8" l="1"/>
  <c r="D6" i="9" l="1"/>
  <c r="D13" i="9" s="1"/>
  <c r="M15" i="8"/>
  <c r="K15" i="8"/>
  <c r="J15" i="8"/>
  <c r="I15" i="8"/>
  <c r="H15" i="8"/>
  <c r="G15" i="8" l="1"/>
  <c r="Q21" i="4" l="1"/>
  <c r="Q20" i="4" l="1"/>
  <c r="M6" i="8" l="1"/>
  <c r="M13" i="8" s="1"/>
  <c r="M18" i="8" s="1"/>
  <c r="U6" i="8"/>
  <c r="P6" i="8"/>
  <c r="G6" i="8"/>
  <c r="C6" i="8" l="1"/>
  <c r="C18" i="8" s="1"/>
  <c r="F6" i="9"/>
  <c r="F13" i="9" s="1"/>
  <c r="D13" i="8" l="1"/>
  <c r="G13" i="8"/>
  <c r="G64" i="8" s="1"/>
  <c r="J13" i="8"/>
  <c r="J64" i="8" s="1"/>
  <c r="T13" i="8"/>
  <c r="D64" i="8" l="1"/>
  <c r="E6" i="9" l="1"/>
  <c r="M64" i="8"/>
  <c r="G6" i="9"/>
  <c r="G13" i="9" s="1"/>
  <c r="C6" i="9" l="1"/>
  <c r="E6" i="6" s="1"/>
  <c r="E13" i="9"/>
  <c r="C13" i="9" s="1"/>
  <c r="T16" i="8"/>
  <c r="T62" i="8" s="1"/>
  <c r="J16" i="8"/>
  <c r="J62" i="8" s="1"/>
  <c r="Q19" i="4" l="1"/>
  <c r="C15" i="9" l="1"/>
  <c r="E13" i="6"/>
  <c r="Q18" i="4"/>
  <c r="Q17" i="4" l="1"/>
  <c r="Q16" i="4"/>
  <c r="Q15" i="4"/>
  <c r="Q14" i="4"/>
  <c r="Q13" i="4"/>
  <c r="Q12" i="4"/>
  <c r="Q11" i="4"/>
  <c r="Q10" i="4"/>
  <c r="Q9" i="4"/>
  <c r="Q8" i="4"/>
  <c r="Q7" i="4"/>
  <c r="Q6" i="4"/>
  <c r="K43" i="8" l="1"/>
  <c r="K23" i="8" s="1"/>
  <c r="K36" i="8"/>
  <c r="F50" i="9"/>
  <c r="F43" i="9"/>
  <c r="F22" i="9" s="1"/>
  <c r="E22" i="9"/>
  <c r="F36" i="9"/>
  <c r="K50" i="8"/>
  <c r="N50" i="8" l="1"/>
  <c r="N19" i="8"/>
  <c r="N13" i="8"/>
  <c r="N18" i="8" l="1"/>
  <c r="N64" i="8"/>
  <c r="N28" i="8"/>
  <c r="N27" i="8"/>
  <c r="N16" i="8"/>
  <c r="N62" i="8" s="1"/>
  <c r="N56" i="8"/>
  <c r="U50" i="8"/>
  <c r="U43" i="8"/>
  <c r="U23" i="8" s="1"/>
  <c r="U19" i="8"/>
  <c r="U18" i="8"/>
  <c r="U28" i="8" l="1"/>
  <c r="U27" i="8"/>
  <c r="U56" i="8"/>
  <c r="U13" i="8"/>
  <c r="C52" i="9" l="1"/>
  <c r="C54" i="9"/>
  <c r="C56" i="9"/>
  <c r="C53" i="9"/>
  <c r="C55" i="9"/>
  <c r="U16" i="8"/>
  <c r="U62" i="8" s="1"/>
  <c r="U64" i="8"/>
  <c r="T50" i="8" l="1"/>
  <c r="C15" i="8" l="1"/>
  <c r="C54" i="8"/>
  <c r="C52" i="8"/>
  <c r="C55" i="8"/>
  <c r="C53" i="8"/>
  <c r="M16" i="8" l="1"/>
  <c r="M61" i="8" s="1"/>
  <c r="M62" i="8" s="1"/>
  <c r="G18" i="9"/>
  <c r="F18" i="9"/>
  <c r="E18" i="9"/>
  <c r="D18" i="9"/>
  <c r="T18" i="8"/>
  <c r="H19" i="8"/>
  <c r="G18" i="8"/>
  <c r="T19" i="8"/>
  <c r="P19" i="8"/>
  <c r="K19" i="8"/>
  <c r="J19" i="8"/>
  <c r="I19" i="8"/>
  <c r="G19" i="8"/>
  <c r="E19" i="8"/>
  <c r="D19" i="8"/>
  <c r="E13" i="8"/>
  <c r="D50" i="8"/>
  <c r="P18" i="8"/>
  <c r="K18" i="8"/>
  <c r="I18" i="8"/>
  <c r="H13" i="8"/>
  <c r="H64" i="8" s="1"/>
  <c r="D10" i="6"/>
  <c r="D8" i="6"/>
  <c r="G50" i="9"/>
  <c r="F27" i="9"/>
  <c r="D50" i="9"/>
  <c r="G43" i="9"/>
  <c r="F28" i="9"/>
  <c r="E28" i="9"/>
  <c r="D43" i="9"/>
  <c r="D22" i="9" s="1"/>
  <c r="E41" i="6"/>
  <c r="E40" i="6"/>
  <c r="E39" i="6"/>
  <c r="E38" i="6"/>
  <c r="E37" i="6"/>
  <c r="G36" i="9"/>
  <c r="D47" i="6"/>
  <c r="D46" i="6"/>
  <c r="D45" i="6"/>
  <c r="D44" i="6"/>
  <c r="D41" i="6"/>
  <c r="D40" i="6"/>
  <c r="D38" i="6"/>
  <c r="D37" i="6"/>
  <c r="D34" i="6"/>
  <c r="D33" i="6"/>
  <c r="D32" i="6"/>
  <c r="D31" i="6"/>
  <c r="D21" i="6"/>
  <c r="D20" i="6"/>
  <c r="C20" i="6" s="1"/>
  <c r="D14" i="6"/>
  <c r="P52" i="4" s="1"/>
  <c r="D7" i="6"/>
  <c r="P50" i="8"/>
  <c r="M50" i="8"/>
  <c r="J43" i="8"/>
  <c r="J23" i="8" s="1"/>
  <c r="G50" i="8"/>
  <c r="P43" i="8"/>
  <c r="P23" i="8" s="1"/>
  <c r="H43" i="8"/>
  <c r="H23" i="8" s="1"/>
  <c r="G43" i="8"/>
  <c r="G23" i="8" s="1"/>
  <c r="E43" i="8"/>
  <c r="E23" i="8" s="1"/>
  <c r="D43" i="8"/>
  <c r="D23" i="8" s="1"/>
  <c r="M36" i="8"/>
  <c r="J36" i="8"/>
  <c r="I36" i="8"/>
  <c r="H36" i="8"/>
  <c r="G36" i="8"/>
  <c r="E36" i="8"/>
  <c r="D36" i="8"/>
  <c r="D28" i="9" l="1"/>
  <c r="G22" i="9"/>
  <c r="G28" i="9" s="1"/>
  <c r="C23" i="8"/>
  <c r="E64" i="8"/>
  <c r="D54" i="6"/>
  <c r="D52" i="6"/>
  <c r="D53" i="6"/>
  <c r="D51" i="6"/>
  <c r="P28" i="8"/>
  <c r="T28" i="8"/>
  <c r="P43" i="4"/>
  <c r="E16" i="8"/>
  <c r="P56" i="8"/>
  <c r="P27" i="8"/>
  <c r="E28" i="8"/>
  <c r="K56" i="8"/>
  <c r="K27" i="8"/>
  <c r="E56" i="8"/>
  <c r="E27" i="8"/>
  <c r="F64" i="9"/>
  <c r="D16" i="6"/>
  <c r="C16" i="6" s="1"/>
  <c r="D18" i="6"/>
  <c r="E64" i="9"/>
  <c r="D17" i="9"/>
  <c r="I27" i="8"/>
  <c r="I56" i="8"/>
  <c r="T56" i="8"/>
  <c r="T27" i="8"/>
  <c r="J56" i="8"/>
  <c r="J27" i="8"/>
  <c r="J28" i="8"/>
  <c r="I28" i="8"/>
  <c r="H27" i="8"/>
  <c r="H56" i="8"/>
  <c r="D24" i="6"/>
  <c r="G28" i="8"/>
  <c r="G27" i="8"/>
  <c r="G56" i="8"/>
  <c r="M56" i="8"/>
  <c r="M27" i="8"/>
  <c r="M28" i="8"/>
  <c r="G64" i="9"/>
  <c r="G15" i="9"/>
  <c r="G61" i="9" s="1"/>
  <c r="G62" i="9" s="1"/>
  <c r="H28" i="8"/>
  <c r="C18" i="9"/>
  <c r="E18" i="6" s="1"/>
  <c r="H16" i="8"/>
  <c r="H61" i="8" s="1"/>
  <c r="H62" i="8" s="1"/>
  <c r="E18" i="8"/>
  <c r="D58" i="6"/>
  <c r="C58" i="6" s="1"/>
  <c r="D57" i="6"/>
  <c r="C57" i="6" s="1"/>
  <c r="D9" i="6"/>
  <c r="C9" i="6" s="1"/>
  <c r="K13" i="8"/>
  <c r="I13" i="8"/>
  <c r="I64" i="8" s="1"/>
  <c r="H18" i="8"/>
  <c r="P13" i="8"/>
  <c r="P64" i="8" s="1"/>
  <c r="D28" i="8"/>
  <c r="C7" i="6"/>
  <c r="E49" i="6"/>
  <c r="C46" i="6"/>
  <c r="C45" i="6"/>
  <c r="C32" i="6"/>
  <c r="C38" i="6"/>
  <c r="C31" i="6"/>
  <c r="D30" i="6"/>
  <c r="C30" i="6" s="1"/>
  <c r="C43" i="8"/>
  <c r="D39" i="6"/>
  <c r="C21" i="6"/>
  <c r="C33" i="6"/>
  <c r="C44" i="6"/>
  <c r="C37" i="6"/>
  <c r="C41" i="6"/>
  <c r="C47" i="6"/>
  <c r="C10" i="6"/>
  <c r="E35" i="6"/>
  <c r="C34" i="6"/>
  <c r="C40" i="6"/>
  <c r="C8" i="6"/>
  <c r="D16" i="8"/>
  <c r="E42" i="6"/>
  <c r="C50" i="9"/>
  <c r="C27" i="9" s="1"/>
  <c r="C43" i="9"/>
  <c r="E27" i="9"/>
  <c r="D27" i="9"/>
  <c r="G27" i="9"/>
  <c r="D56" i="8"/>
  <c r="E62" i="8" l="1"/>
  <c r="C22" i="9"/>
  <c r="E22" i="6" s="1"/>
  <c r="Q26" i="4"/>
  <c r="K16" i="8"/>
  <c r="K62" i="8" s="1"/>
  <c r="K64" i="8"/>
  <c r="C28" i="9"/>
  <c r="D48" i="6"/>
  <c r="C56" i="8"/>
  <c r="D64" i="9"/>
  <c r="C64" i="9" s="1"/>
  <c r="E63" i="6" s="1"/>
  <c r="C17" i="9"/>
  <c r="E17" i="6" s="1"/>
  <c r="T64" i="8"/>
  <c r="C27" i="8"/>
  <c r="E15" i="9"/>
  <c r="E61" i="9" s="1"/>
  <c r="E62" i="9" s="1"/>
  <c r="F17" i="9"/>
  <c r="F15" i="9"/>
  <c r="F61" i="9" s="1"/>
  <c r="F62" i="9" s="1"/>
  <c r="E17" i="9"/>
  <c r="D15" i="9"/>
  <c r="D61" i="9" s="1"/>
  <c r="D62" i="9" s="1"/>
  <c r="G16" i="8"/>
  <c r="G61" i="8" s="1"/>
  <c r="G62" i="8" s="1"/>
  <c r="G17" i="9"/>
  <c r="P16" i="8"/>
  <c r="P61" i="8" s="1"/>
  <c r="P62" i="8" s="1"/>
  <c r="I16" i="8"/>
  <c r="I61" i="8" s="1"/>
  <c r="I62" i="8" s="1"/>
  <c r="D35" i="6"/>
  <c r="D42" i="6"/>
  <c r="C39" i="6"/>
  <c r="C42" i="6" s="1"/>
  <c r="C35" i="6"/>
  <c r="C62" i="9" l="1"/>
  <c r="E61" i="6" s="1"/>
  <c r="C61" i="9"/>
  <c r="E60" i="6" s="1"/>
  <c r="D62" i="8"/>
  <c r="D49" i="6"/>
  <c r="D26" i="6" s="1"/>
  <c r="D55" i="6"/>
  <c r="C48" i="6"/>
  <c r="C28" i="8"/>
  <c r="D62" i="6"/>
  <c r="C62" i="6" s="1"/>
  <c r="P47" i="4" s="1"/>
  <c r="C49" i="6" l="1"/>
  <c r="C24" i="6" l="1"/>
  <c r="D22" i="6" l="1"/>
  <c r="C22" i="6" s="1"/>
  <c r="K28" i="8"/>
  <c r="D23" i="6"/>
  <c r="D27" i="6" l="1"/>
  <c r="C23" i="6"/>
  <c r="D17" i="6"/>
  <c r="X13" i="8"/>
  <c r="X64" i="8" l="1"/>
  <c r="C64" i="8" s="1"/>
  <c r="D63" i="6" s="1"/>
  <c r="C63" i="6" s="1"/>
  <c r="P48" i="4" s="1"/>
  <c r="P49" i="4" s="1"/>
  <c r="Q47" i="4" s="1"/>
  <c r="C13" i="8"/>
  <c r="C16" i="8" s="1"/>
  <c r="X16" i="8"/>
  <c r="X18" i="8"/>
  <c r="D6" i="6"/>
  <c r="P42" i="4" l="1"/>
  <c r="P46" i="4" s="1"/>
  <c r="C6" i="6"/>
  <c r="D13" i="6"/>
  <c r="C13" i="6" s="1"/>
  <c r="D15" i="6"/>
  <c r="Q48" i="4"/>
  <c r="X62" i="8"/>
  <c r="C62" i="8" s="1"/>
  <c r="D61" i="6" s="1"/>
  <c r="C61" i="6" s="1"/>
  <c r="P58" i="4" s="1"/>
  <c r="C61" i="8"/>
  <c r="D60" i="6" s="1"/>
  <c r="C60" i="6" s="1"/>
  <c r="P57" i="4" s="1"/>
  <c r="C17" i="6" l="1"/>
  <c r="O40" i="4"/>
  <c r="P59" i="4"/>
  <c r="Q58" i="4" s="1"/>
  <c r="Q42" i="4" l="1"/>
  <c r="Q45" i="4"/>
  <c r="Q57" i="4"/>
  <c r="Q43" i="4"/>
  <c r="Q44" i="4"/>
  <c r="Q34" i="4"/>
  <c r="C26" i="11"/>
  <c r="E15" i="6" l="1"/>
  <c r="E14" i="6"/>
  <c r="E54" i="6" s="1"/>
  <c r="C25" i="11"/>
  <c r="E27" i="6" l="1"/>
  <c r="C14" i="6"/>
  <c r="P53" i="4"/>
  <c r="P56" i="4" s="1"/>
  <c r="E51" i="6"/>
  <c r="E26" i="6"/>
  <c r="E52" i="6"/>
  <c r="E53" i="6"/>
  <c r="E55" i="6"/>
  <c r="C51" i="6" l="1"/>
  <c r="P40" i="4"/>
  <c r="Q40" i="4" s="1"/>
  <c r="C26" i="6"/>
  <c r="C27" i="6"/>
  <c r="C54" i="6"/>
  <c r="C52" i="6"/>
  <c r="C53" i="6"/>
  <c r="C18" i="6"/>
  <c r="C15" i="6"/>
  <c r="C55" i="6"/>
  <c r="Q53" i="4" l="1"/>
  <c r="Q55" i="4"/>
  <c r="Q54" i="4"/>
  <c r="Q52" i="4"/>
</calcChain>
</file>

<file path=xl/sharedStrings.xml><?xml version="1.0" encoding="utf-8"?>
<sst xmlns="http://schemas.openxmlformats.org/spreadsheetml/2006/main" count="484" uniqueCount="152">
  <si>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</si>
  <si>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</si>
  <si>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</si>
  <si>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</si>
  <si>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</si>
  <si>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</si>
  <si>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</si>
  <si>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</si>
  <si>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</si>
  <si>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</si>
  <si>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</si>
  <si>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</si>
  <si>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</si>
  <si>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</si>
  <si>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</si>
  <si>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</si>
  <si>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</si>
  <si>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</si>
  <si>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91-120 days past due</t>
  </si>
  <si>
    <t>Number of Loans disbursed</t>
  </si>
  <si>
    <t>&gt; 120 days</t>
  </si>
  <si>
    <t>Amount of Loan disbursed</t>
  </si>
  <si>
    <t>Principal due from Members (Including past dues)</t>
  </si>
  <si>
    <t>Repayment (Principal)  excluding Prepayments</t>
  </si>
  <si>
    <t>Repayment (Interest)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</si>
  <si>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</si>
  <si>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</si>
  <si>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</si>
  <si>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</si>
  <si>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</si>
  <si>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</si>
  <si>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</si>
  <si>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</si>
  <si>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</si>
  <si>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SUMMARY-PRAYAS mF program (PJVB)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</si>
  <si>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</si>
  <si>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</si>
  <si>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</si>
  <si>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</si>
  <si>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</si>
  <si>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</si>
  <si>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</si>
  <si>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</si>
  <si>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</si>
  <si>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</si>
  <si>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</si>
  <si>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</si>
  <si>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</si>
  <si>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</si>
  <si>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No of Client Rural</t>
  </si>
  <si>
    <t>No of Client Urban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</si>
  <si>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</si>
  <si>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</si>
  <si>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</si>
  <si>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</si>
  <si>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</si>
  <si>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</si>
  <si>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</si>
  <si>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</si>
  <si>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</si>
  <si>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</si>
  <si>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</si>
  <si>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</si>
  <si>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</si>
  <si>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</si>
  <si>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</si>
  <si>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</si>
  <si>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</si>
  <si>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</si>
  <si>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</si>
  <si>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</si>
  <si>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</si>
  <si>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</si>
  <si>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</si>
  <si>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</si>
  <si>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</si>
  <si>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</si>
  <si>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</si>
  <si>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</si>
  <si>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</si>
  <si>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</si>
  <si>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Kutchh</t>
  </si>
  <si>
    <t>Anjar</t>
  </si>
  <si>
    <t>Adipur</t>
  </si>
  <si>
    <t>Gandhidham</t>
  </si>
  <si>
    <t>Rapar</t>
  </si>
  <si>
    <t>Surendranagar</t>
  </si>
  <si>
    <t>Dhangadhra</t>
  </si>
  <si>
    <t>Jhabua (MP)</t>
  </si>
  <si>
    <t>Gandhinagar</t>
  </si>
  <si>
    <t>Own portfolio</t>
  </si>
  <si>
    <t>Managed portfolio</t>
  </si>
  <si>
    <t>MONTH:</t>
  </si>
  <si>
    <t>Month:</t>
  </si>
  <si>
    <t>PRAYAS Micro Finance Program (PJVB)</t>
  </si>
  <si>
    <t>Wadhvan</t>
  </si>
  <si>
    <t>Jhabua</t>
  </si>
  <si>
    <t>Gruh Finance</t>
  </si>
  <si>
    <t>Alirajpur (MP)</t>
  </si>
  <si>
    <t>IDBI Bank</t>
  </si>
  <si>
    <t>Sr. No.</t>
  </si>
  <si>
    <t xml:space="preserve"> Borrowers Details</t>
  </si>
  <si>
    <t>Product</t>
  </si>
  <si>
    <t>SHG</t>
  </si>
  <si>
    <t>Watsan</t>
  </si>
  <si>
    <t>%</t>
  </si>
  <si>
    <t>Amt</t>
  </si>
  <si>
    <t>Difference O/s. Tally &amp; Bijali</t>
  </si>
  <si>
    <t>Chandkheda</t>
  </si>
  <si>
    <t>Ahmedabad</t>
  </si>
  <si>
    <t>Rural</t>
  </si>
  <si>
    <t>Urban</t>
  </si>
  <si>
    <t>Adalaj</t>
  </si>
  <si>
    <t>Mansa</t>
  </si>
  <si>
    <t>Dehgam</t>
  </si>
  <si>
    <t>Sewa Energy</t>
  </si>
  <si>
    <t>Gangardi</t>
  </si>
  <si>
    <t>CSA Nagar</t>
  </si>
  <si>
    <t>Morbi</t>
  </si>
  <si>
    <t>Dhar(MP)</t>
  </si>
  <si>
    <t>Kukshi</t>
  </si>
  <si>
    <t>Badawni(MP)</t>
  </si>
  <si>
    <t>Badwani</t>
  </si>
  <si>
    <t>District-9</t>
  </si>
  <si>
    <t>YBL</t>
  </si>
  <si>
    <t>MFL</t>
  </si>
  <si>
    <t>Ahmedbad</t>
  </si>
  <si>
    <t>Jhalod</t>
  </si>
  <si>
    <t>Limdi</t>
  </si>
  <si>
    <t>PRAYAS Micro Finance Program (PJVB)-Own Portfolio</t>
  </si>
  <si>
    <t>PRAYAS Micro Finance Program (PJVB)-Managed Portfolio-Mas Financial Service Ltd</t>
  </si>
  <si>
    <t>Commission Amount(38.4%)</t>
  </si>
  <si>
    <t>SIDBI Term Loan</t>
  </si>
  <si>
    <t>Housing</t>
  </si>
  <si>
    <t>Units-18</t>
  </si>
  <si>
    <t>Ananya</t>
  </si>
  <si>
    <t>MAS Financial Servcies Ltd</t>
  </si>
  <si>
    <t>Habitat for Humanity</t>
  </si>
  <si>
    <t>SBI Bank</t>
  </si>
  <si>
    <t>SIDBI-Debt</t>
  </si>
  <si>
    <t>Unit-12</t>
  </si>
  <si>
    <t>All 18 Units</t>
  </si>
  <si>
    <t>PRAYAS Micro Finance Program (PJVB)-Managed Portfolio-YES BANK</t>
  </si>
  <si>
    <t>Units-12</t>
  </si>
  <si>
    <t>Unit-7</t>
  </si>
  <si>
    <t>Districts-10</t>
  </si>
  <si>
    <t>Alirajpur</t>
  </si>
  <si>
    <t>Wadhwan</t>
  </si>
  <si>
    <t>Milaap</t>
  </si>
  <si>
    <t>S.Nagar</t>
  </si>
  <si>
    <t>Units-21</t>
  </si>
  <si>
    <t>All Unit-21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</si>
</sst>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[$-409]mmmm\-yy;@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0"/>
      <name val="Book Antiqua"/>
      <family val="1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2" xfId="0" applyNumberFormat="1" applyBorder="1"/>
    <xf numFmtId="0" fontId="6" fillId="0" borderId="0" xfId="0" applyFont="1" applyProtection="1"/>
    <xf numFmtId="0" fontId="2" fillId="0" borderId="0" xfId="0" applyFont="1" applyProtection="1"/>
    <xf numFmtId="0" fontId="0" fillId="0" borderId="2" xfId="0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2" fillId="0" borderId="2" xfId="0" applyFont="1" applyBorder="1" applyProtection="1"/>
    <xf numFmtId="0" fontId="6" fillId="0" borderId="0" xfId="0" applyFont="1" applyAlignment="1" applyProtection="1">
      <alignment horizontal="center"/>
    </xf>
    <xf numFmtId="0" fontId="2" fillId="0" borderId="2" xfId="0" applyFont="1" applyFill="1" applyBorder="1" applyProtection="1"/>
    <xf numFmtId="2" fontId="2" fillId="0" borderId="2" xfId="0" applyNumberFormat="1" applyFont="1" applyBorder="1" applyProtection="1"/>
    <xf numFmtId="2" fontId="5" fillId="0" borderId="2" xfId="0" applyNumberFormat="1" applyFont="1" applyBorder="1" applyAlignment="1" applyProtection="1">
      <alignment horizontal="right" vertical="center"/>
    </xf>
    <xf numFmtId="1" fontId="2" fillId="0" borderId="2" xfId="0" applyNumberFormat="1" applyFont="1" applyBorder="1" applyProtection="1"/>
    <xf numFmtId="17" fontId="9" fillId="0" borderId="2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right" vertical="center"/>
    </xf>
    <xf numFmtId="0" fontId="4" fillId="0" borderId="2" xfId="0" applyFont="1" applyBorder="1" applyProtection="1"/>
    <xf numFmtId="2" fontId="2" fillId="0" borderId="12" xfId="0" applyNumberFormat="1" applyFont="1" applyBorder="1" applyProtection="1"/>
    <xf numFmtId="164" fontId="4" fillId="5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horizontal="right" vertical="center"/>
    </xf>
    <xf numFmtId="0" fontId="4" fillId="3" borderId="21" xfId="0" applyNumberFormat="1" applyFont="1" applyFill="1" applyBorder="1" applyAlignment="1" applyProtection="1">
      <alignment horizontal="center" vertical="center"/>
    </xf>
    <xf numFmtId="0" fontId="4" fillId="3" borderId="20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right" vertical="center"/>
    </xf>
    <xf numFmtId="0" fontId="4" fillId="3" borderId="11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2" fillId="5" borderId="18" xfId="0" applyFont="1" applyFill="1" applyBorder="1" applyProtection="1"/>
    <xf numFmtId="0" fontId="2" fillId="0" borderId="25" xfId="0" applyFont="1" applyBorder="1" applyProtection="1"/>
    <xf numFmtId="0" fontId="4" fillId="3" borderId="10" xfId="0" applyFont="1" applyFill="1" applyBorder="1" applyAlignment="1" applyProtection="1">
      <alignment horizontal="center" vertical="center"/>
    </xf>
    <xf numFmtId="0" fontId="4" fillId="0" borderId="25" xfId="0" applyFont="1" applyBorder="1" applyProtection="1"/>
    <xf numFmtId="2" fontId="2" fillId="0" borderId="25" xfId="0" applyNumberFormat="1" applyFont="1" applyBorder="1" applyProtection="1"/>
    <xf numFmtId="2" fontId="5" fillId="0" borderId="25" xfId="0" applyNumberFormat="1" applyFont="1" applyBorder="1" applyAlignment="1" applyProtection="1">
      <alignment horizontal="right" vertical="center"/>
    </xf>
    <xf numFmtId="164" fontId="4" fillId="5" borderId="21" xfId="0" applyNumberFormat="1" applyFont="1" applyFill="1" applyBorder="1" applyAlignment="1" applyProtection="1">
      <alignment vertical="center"/>
    </xf>
    <xf numFmtId="9" fontId="0" fillId="0" borderId="25" xfId="1" applyFont="1" applyBorder="1"/>
    <xf numFmtId="17" fontId="3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1" fontId="6" fillId="0" borderId="0" xfId="0" applyNumberFormat="1" applyFont="1" applyProtection="1"/>
    <xf numFmtId="3" fontId="6" fillId="0" borderId="0" xfId="0" applyNumberFormat="1" applyFont="1" applyProtection="1"/>
    <xf numFmtId="165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0" borderId="2" xfId="0" applyFill="1" applyBorder="1"/>
    <xf numFmtId="0" fontId="4" fillId="3" borderId="23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21" xfId="0" applyNumberFormat="1" applyFont="1" applyFill="1" applyBorder="1" applyAlignment="1" applyProtection="1">
      <alignment vertical="center"/>
    </xf>
    <xf numFmtId="0" fontId="2" fillId="0" borderId="35" xfId="0" applyNumberFormat="1" applyFont="1" applyFill="1" applyBorder="1" applyAlignment="1" applyProtection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/>
    </xf>
    <xf numFmtId="0" fontId="2" fillId="0" borderId="14" xfId="0" applyNumberFormat="1" applyFont="1" applyFill="1" applyBorder="1" applyAlignment="1" applyProtection="1">
      <alignment horizontal="right" vertical="center"/>
    </xf>
    <xf numFmtId="0" fontId="2" fillId="0" borderId="37" xfId="0" applyNumberFormat="1" applyFont="1" applyFill="1" applyBorder="1" applyAlignment="1" applyProtection="1">
      <alignment horizontal="right" vertical="center"/>
    </xf>
    <xf numFmtId="0" fontId="4" fillId="3" borderId="13" xfId="0" applyNumberFormat="1" applyFont="1" applyFill="1" applyBorder="1" applyAlignment="1" applyProtection="1">
      <alignment vertical="center"/>
    </xf>
    <xf numFmtId="0" fontId="4" fillId="3" borderId="21" xfId="0" applyFont="1" applyFill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/>
    </xf>
    <xf numFmtId="0" fontId="4" fillId="3" borderId="31" xfId="0" applyNumberFormat="1" applyFont="1" applyFill="1" applyBorder="1" applyAlignment="1" applyProtection="1">
      <alignment horizontal="center" vertical="center"/>
    </xf>
    <xf numFmtId="0" fontId="4" fillId="3" borderId="21" xfId="0" applyNumberFormat="1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horizontal="right" vertical="center"/>
    </xf>
    <xf numFmtId="0" fontId="4" fillId="0" borderId="14" xfId="0" applyNumberFormat="1" applyFont="1" applyFill="1" applyBorder="1" applyAlignment="1" applyProtection="1">
      <alignment horizontal="right" vertical="center"/>
    </xf>
    <xf numFmtId="0" fontId="4" fillId="0" borderId="37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right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4" fillId="3" borderId="24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2" fillId="0" borderId="4" xfId="0" applyFont="1" applyBorder="1" applyProtection="1"/>
    <xf numFmtId="0" fontId="2" fillId="0" borderId="9" xfId="0" applyFont="1" applyBorder="1" applyProtection="1"/>
    <xf numFmtId="0" fontId="2" fillId="5" borderId="1" xfId="0" applyFont="1" applyFill="1" applyBorder="1" applyProtection="1"/>
    <xf numFmtId="0" fontId="4" fillId="0" borderId="9" xfId="0" applyFont="1" applyBorder="1" applyProtection="1"/>
    <xf numFmtId="1" fontId="2" fillId="0" borderId="9" xfId="0" applyNumberFormat="1" applyFont="1" applyBorder="1" applyProtection="1"/>
    <xf numFmtId="0" fontId="2" fillId="0" borderId="9" xfId="0" applyFont="1" applyFill="1" applyBorder="1" applyProtection="1"/>
    <xf numFmtId="2" fontId="5" fillId="0" borderId="9" xfId="0" applyNumberFormat="1" applyFont="1" applyBorder="1" applyAlignment="1" applyProtection="1">
      <alignment horizontal="right" vertical="center"/>
    </xf>
    <xf numFmtId="2" fontId="2" fillId="0" borderId="9" xfId="0" applyNumberFormat="1" applyFont="1" applyBorder="1" applyProtection="1"/>
    <xf numFmtId="0" fontId="2" fillId="0" borderId="27" xfId="0" applyFont="1" applyBorder="1" applyProtection="1"/>
    <xf numFmtId="0" fontId="2" fillId="5" borderId="39" xfId="0" applyFont="1" applyFill="1" applyBorder="1" applyProtection="1"/>
    <xf numFmtId="3" fontId="0" fillId="0" borderId="2" xfId="0" applyNumberFormat="1" applyFill="1" applyBorder="1"/>
    <xf numFmtId="0" fontId="2" fillId="0" borderId="36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4" fillId="3" borderId="32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3" fontId="2" fillId="0" borderId="9" xfId="0" applyNumberFormat="1" applyFont="1" applyBorder="1" applyProtection="1"/>
    <xf numFmtId="0" fontId="2" fillId="0" borderId="10" xfId="0" applyFont="1" applyBorder="1" applyProtection="1"/>
    <xf numFmtId="0" fontId="2" fillId="5" borderId="24" xfId="0" applyFont="1" applyFill="1" applyBorder="1" applyProtection="1"/>
    <xf numFmtId="0" fontId="2" fillId="0" borderId="13" xfId="0" applyFont="1" applyBorder="1" applyProtection="1"/>
    <xf numFmtId="0" fontId="11" fillId="0" borderId="2" xfId="0" applyFont="1" applyBorder="1"/>
    <xf numFmtId="0" fontId="2" fillId="0" borderId="25" xfId="0" applyFont="1" applyFill="1" applyBorder="1" applyProtection="1"/>
    <xf numFmtId="0" fontId="4" fillId="3" borderId="20" xfId="0" applyFont="1" applyFill="1" applyBorder="1" applyAlignment="1" applyProtection="1">
      <alignment horizontal="right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13" xfId="0" applyFont="1" applyFill="1" applyBorder="1" applyAlignment="1" applyProtection="1">
      <alignment horizontal="right" vertical="center"/>
    </xf>
    <xf numFmtId="0" fontId="2" fillId="9" borderId="9" xfId="0" applyFont="1" applyFill="1" applyBorder="1" applyProtection="1"/>
    <xf numFmtId="0" fontId="2" fillId="9" borderId="25" xfId="0" applyFont="1" applyFill="1" applyBorder="1" applyProtection="1"/>
    <xf numFmtId="0" fontId="2" fillId="9" borderId="2" xfId="0" applyFont="1" applyFill="1" applyBorder="1" applyProtection="1"/>
    <xf numFmtId="0" fontId="2" fillId="9" borderId="13" xfId="0" applyFont="1" applyFill="1" applyBorder="1" applyProtection="1"/>
    <xf numFmtId="0" fontId="2" fillId="9" borderId="0" xfId="0" applyFont="1" applyFill="1" applyProtection="1"/>
    <xf numFmtId="0" fontId="2" fillId="9" borderId="10" xfId="0" applyFont="1" applyFill="1" applyBorder="1" applyAlignment="1" applyProtection="1">
      <alignment horizontal="right" vertical="center"/>
    </xf>
    <xf numFmtId="0" fontId="2" fillId="9" borderId="10" xfId="0" applyNumberFormat="1" applyFont="1" applyFill="1" applyBorder="1" applyAlignment="1" applyProtection="1">
      <alignment horizontal="center" vertical="center"/>
    </xf>
    <xf numFmtId="0" fontId="2" fillId="9" borderId="13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3" fontId="0" fillId="0" borderId="3" xfId="0" applyNumberFormat="1" applyBorder="1"/>
    <xf numFmtId="17" fontId="9" fillId="0" borderId="0" xfId="0" applyNumberFormat="1" applyFont="1" applyBorder="1" applyAlignment="1">
      <alignment horizontal="left"/>
    </xf>
    <xf numFmtId="0" fontId="4" fillId="3" borderId="31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8" borderId="10" xfId="0" applyNumberFormat="1" applyFont="1" applyFill="1" applyBorder="1" applyAlignment="1" applyProtection="1">
      <alignment horizontal="center" vertical="center"/>
    </xf>
    <xf numFmtId="0" fontId="2" fillId="8" borderId="13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164" fontId="4" fillId="6" borderId="21" xfId="0" applyNumberFormat="1" applyFont="1" applyFill="1" applyBorder="1" applyAlignment="1" applyProtection="1">
      <alignment vertical="center"/>
    </xf>
    <xf numFmtId="17" fontId="4" fillId="7" borderId="21" xfId="0" applyNumberFormat="1" applyFont="1" applyFill="1" applyBorder="1" applyProtection="1"/>
    <xf numFmtId="164" fontId="4" fillId="5" borderId="29" xfId="0" applyNumberFormat="1" applyFont="1" applyFill="1" applyBorder="1" applyAlignment="1" applyProtection="1">
      <alignment vertical="center"/>
    </xf>
    <xf numFmtId="17" fontId="4" fillId="5" borderId="29" xfId="0" applyNumberFormat="1" applyFont="1" applyFill="1" applyBorder="1" applyAlignment="1" applyProtection="1">
      <alignment horizontal="center"/>
    </xf>
    <xf numFmtId="0" fontId="2" fillId="5" borderId="31" xfId="0" applyNumberFormat="1" applyFont="1" applyFill="1" applyBorder="1" applyAlignment="1" applyProtection="1">
      <alignment vertical="center"/>
    </xf>
    <xf numFmtId="0" fontId="4" fillId="0" borderId="13" xfId="0" applyFont="1" applyBorder="1" applyProtection="1"/>
    <xf numFmtId="0" fontId="2" fillId="5" borderId="24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Protection="1"/>
    <xf numFmtId="1" fontId="2" fillId="0" borderId="13" xfId="0" applyNumberFormat="1" applyFont="1" applyFill="1" applyBorder="1" applyAlignment="1" applyProtection="1">
      <alignment horizontal="right" vertical="center"/>
    </xf>
    <xf numFmtId="1" fontId="2" fillId="0" borderId="13" xfId="0" applyNumberFormat="1" applyFont="1" applyBorder="1" applyProtection="1"/>
    <xf numFmtId="2" fontId="2" fillId="0" borderId="13" xfId="0" applyNumberFormat="1" applyFont="1" applyBorder="1" applyProtection="1"/>
    <xf numFmtId="2" fontId="2" fillId="0" borderId="13" xfId="0" applyNumberFormat="1" applyFont="1" applyBorder="1" applyAlignment="1" applyProtection="1">
      <alignment horizontal="right"/>
    </xf>
    <xf numFmtId="10" fontId="4" fillId="0" borderId="13" xfId="1" applyNumberFormat="1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24" xfId="0" applyFont="1" applyFill="1" applyBorder="1" applyAlignment="1" applyProtection="1">
      <alignment horizontal="right"/>
    </xf>
    <xf numFmtId="0" fontId="2" fillId="5" borderId="25" xfId="0" applyFont="1" applyFill="1" applyBorder="1" applyAlignment="1" applyProtection="1">
      <alignment horizontal="right"/>
    </xf>
    <xf numFmtId="0" fontId="2" fillId="5" borderId="9" xfId="0" applyFont="1" applyFill="1" applyBorder="1" applyProtection="1"/>
    <xf numFmtId="0" fontId="4" fillId="0" borderId="13" xfId="0" applyFont="1" applyBorder="1" applyAlignment="1" applyProtection="1">
      <alignment horizontal="right"/>
    </xf>
    <xf numFmtId="0" fontId="13" fillId="5" borderId="31" xfId="0" applyFont="1" applyFill="1" applyBorder="1" applyAlignment="1" applyProtection="1">
      <alignment horizontal="right"/>
    </xf>
    <xf numFmtId="0" fontId="14" fillId="5" borderId="17" xfId="0" applyFont="1" applyFill="1" applyBorder="1" applyProtection="1"/>
    <xf numFmtId="0" fontId="2" fillId="5" borderId="33" xfId="0" applyFont="1" applyFill="1" applyBorder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3" fontId="4" fillId="0" borderId="9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4" fillId="0" borderId="27" xfId="0" applyNumberFormat="1" applyFont="1" applyFill="1" applyBorder="1" applyProtection="1"/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Protection="1"/>
    <xf numFmtId="3" fontId="2" fillId="0" borderId="27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5" borderId="1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5" borderId="1" xfId="0" applyNumberFormat="1" applyFont="1" applyFill="1" applyBorder="1" applyAlignment="1" applyProtection="1">
      <alignment horizontal="right" vertical="center"/>
    </xf>
    <xf numFmtId="3" fontId="4" fillId="8" borderId="10" xfId="0" applyNumberFormat="1" applyFont="1" applyFill="1" applyBorder="1" applyProtection="1"/>
    <xf numFmtId="1" fontId="2" fillId="0" borderId="10" xfId="0" applyNumberFormat="1" applyFont="1" applyFill="1" applyBorder="1" applyAlignment="1" applyProtection="1">
      <alignment horizontal="right" vertical="center"/>
    </xf>
    <xf numFmtId="1" fontId="2" fillId="0" borderId="25" xfId="0" applyNumberFormat="1" applyFont="1" applyFill="1" applyBorder="1" applyAlignment="1" applyProtection="1">
      <alignment horizontal="right" vertical="center"/>
    </xf>
    <xf numFmtId="1" fontId="2" fillId="0" borderId="9" xfId="0" applyNumberFormat="1" applyFont="1" applyFill="1" applyBorder="1" applyAlignment="1" applyProtection="1">
      <alignment horizontal="right" vertical="center"/>
    </xf>
    <xf numFmtId="1" fontId="2" fillId="0" borderId="2" xfId="0" applyNumberFormat="1" applyFont="1" applyFill="1" applyBorder="1" applyAlignment="1" applyProtection="1">
      <alignment horizontal="right" vertical="center"/>
    </xf>
    <xf numFmtId="1" fontId="2" fillId="0" borderId="25" xfId="0" applyNumberFormat="1" applyFont="1" applyBorder="1" applyProtection="1"/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2" fillId="9" borderId="10" xfId="0" applyNumberFormat="1" applyFont="1" applyFill="1" applyBorder="1" applyAlignment="1" applyProtection="1">
      <alignment horizontal="right" vertical="center"/>
    </xf>
    <xf numFmtId="10" fontId="4" fillId="0" borderId="10" xfId="1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Border="1" applyProtection="1"/>
    <xf numFmtId="2" fontId="2" fillId="0" borderId="27" xfId="0" applyNumberFormat="1" applyFont="1" applyBorder="1" applyProtection="1"/>
    <xf numFmtId="0" fontId="2" fillId="5" borderId="1" xfId="0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9" borderId="4" xfId="0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/>
    </xf>
    <xf numFmtId="2" fontId="2" fillId="0" borderId="10" xfId="0" applyNumberFormat="1" applyFont="1" applyBorder="1" applyAlignment="1" applyProtection="1">
      <alignment horizontal="right"/>
    </xf>
    <xf numFmtId="0" fontId="2" fillId="5" borderId="24" xfId="0" applyNumberFormat="1" applyFont="1" applyFill="1" applyBorder="1" applyAlignment="1" applyProtection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Protection="1"/>
    <xf numFmtId="9" fontId="0" fillId="0" borderId="2" xfId="1" applyFont="1" applyBorder="1"/>
    <xf numFmtId="1" fontId="0" fillId="0" borderId="2" xfId="0" applyNumberFormat="1" applyBorder="1"/>
    <xf numFmtId="0" fontId="8" fillId="2" borderId="6" xfId="0" applyFont="1" applyFill="1" applyBorder="1" applyAlignment="1">
      <alignment horizontal="center" wrapText="1"/>
    </xf>
    <xf numFmtId="0" fontId="0" fillId="0" borderId="9" xfId="0" applyBorder="1"/>
    <xf numFmtId="0" fontId="11" fillId="0" borderId="9" xfId="0" applyFont="1" applyFill="1" applyBorder="1"/>
    <xf numFmtId="0" fontId="0" fillId="0" borderId="25" xfId="0" applyBorder="1"/>
    <xf numFmtId="0" fontId="1" fillId="0" borderId="9" xfId="0" applyFont="1" applyFill="1" applyBorder="1"/>
    <xf numFmtId="166" fontId="0" fillId="0" borderId="25" xfId="1" applyNumberFormat="1" applyFont="1" applyBorder="1"/>
    <xf numFmtId="0" fontId="0" fillId="0" borderId="26" xfId="0" applyBorder="1"/>
    <xf numFmtId="0" fontId="11" fillId="0" borderId="34" xfId="0" applyFont="1" applyFill="1" applyBorder="1"/>
    <xf numFmtId="1" fontId="11" fillId="0" borderId="30" xfId="0" applyNumberFormat="1" applyFont="1" applyBorder="1"/>
    <xf numFmtId="0" fontId="2" fillId="9" borderId="10" xfId="0" applyFont="1" applyFill="1" applyBorder="1" applyProtection="1"/>
    <xf numFmtId="0" fontId="4" fillId="0" borderId="13" xfId="0" applyFont="1" applyFill="1" applyBorder="1" applyProtection="1"/>
    <xf numFmtId="10" fontId="4" fillId="0" borderId="13" xfId="1" applyNumberFormat="1" applyFont="1" applyBorder="1" applyProtection="1"/>
    <xf numFmtId="3" fontId="4" fillId="0" borderId="13" xfId="0" applyNumberFormat="1" applyFont="1" applyFill="1" applyBorder="1" applyAlignment="1" applyProtection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Protection="1"/>
    <xf numFmtId="0" fontId="2" fillId="0" borderId="10" xfId="0" applyFont="1" applyFill="1" applyBorder="1" applyProtection="1"/>
    <xf numFmtId="1" fontId="2" fillId="0" borderId="4" xfId="0" applyNumberFormat="1" applyFont="1" applyFill="1" applyBorder="1" applyAlignment="1" applyProtection="1">
      <alignment horizontal="right" vertical="center"/>
    </xf>
    <xf numFmtId="2" fontId="5" fillId="0" borderId="10" xfId="0" applyNumberFormat="1" applyFont="1" applyBorder="1" applyAlignment="1" applyProtection="1">
      <alignment horizontal="right" vertical="center"/>
    </xf>
    <xf numFmtId="2" fontId="2" fillId="0" borderId="10" xfId="0" applyNumberFormat="1" applyFont="1" applyBorder="1" applyProtection="1"/>
    <xf numFmtId="0" fontId="4" fillId="0" borderId="10" xfId="0" applyFont="1" applyBorder="1" applyProtection="1"/>
    <xf numFmtId="0" fontId="2" fillId="5" borderId="2" xfId="0" applyFont="1" applyFill="1" applyBorder="1" applyProtection="1"/>
    <xf numFmtId="3" fontId="4" fillId="8" borderId="2" xfId="0" applyNumberFormat="1" applyFont="1" applyFill="1" applyBorder="1" applyProtection="1"/>
    <xf numFmtId="2" fontId="2" fillId="0" borderId="2" xfId="0" applyNumberFormat="1" applyFont="1" applyBorder="1" applyAlignment="1" applyProtection="1">
      <alignment horizontal="right"/>
    </xf>
    <xf numFmtId="0" fontId="2" fillId="5" borderId="44" xfId="0" applyFont="1" applyFill="1" applyBorder="1" applyProtection="1"/>
    <xf numFmtId="0" fontId="4" fillId="3" borderId="23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right"/>
    </xf>
    <xf numFmtId="3" fontId="4" fillId="0" borderId="2" xfId="0" applyNumberFormat="1" applyFont="1" applyFill="1" applyBorder="1" applyProtection="1"/>
    <xf numFmtId="0" fontId="4" fillId="9" borderId="2" xfId="0" applyFont="1" applyFill="1" applyBorder="1" applyProtection="1"/>
    <xf numFmtId="3" fontId="4" fillId="0" borderId="3" xfId="0" applyNumberFormat="1" applyFont="1" applyFill="1" applyBorder="1" applyProtection="1"/>
    <xf numFmtId="0" fontId="4" fillId="9" borderId="3" xfId="0" applyFont="1" applyFill="1" applyBorder="1" applyProtection="1"/>
    <xf numFmtId="0" fontId="4" fillId="0" borderId="27" xfId="0" applyFont="1" applyBorder="1" applyProtection="1"/>
    <xf numFmtId="0" fontId="2" fillId="5" borderId="4" xfId="0" applyFont="1" applyFill="1" applyBorder="1" applyProtection="1"/>
    <xf numFmtId="0" fontId="4" fillId="9" borderId="9" xfId="0" applyFont="1" applyFill="1" applyBorder="1" applyProtection="1"/>
    <xf numFmtId="0" fontId="4" fillId="9" borderId="25" xfId="0" applyFont="1" applyFill="1" applyBorder="1" applyProtection="1"/>
    <xf numFmtId="0" fontId="6" fillId="10" borderId="0" xfId="0" applyFont="1" applyFill="1" applyProtection="1"/>
    <xf numFmtId="0" fontId="2" fillId="10" borderId="9" xfId="0" applyFont="1" applyFill="1" applyBorder="1" applyProtection="1"/>
    <xf numFmtId="0" fontId="2" fillId="9" borderId="13" xfId="0" applyFont="1" applyFill="1" applyBorder="1" applyAlignment="1" applyProtection="1">
      <alignment horizontal="right"/>
    </xf>
    <xf numFmtId="1" fontId="2" fillId="9" borderId="9" xfId="0" applyNumberFormat="1" applyFont="1" applyFill="1" applyBorder="1" applyProtection="1"/>
    <xf numFmtId="3" fontId="2" fillId="9" borderId="25" xfId="0" applyNumberFormat="1" applyFont="1" applyFill="1" applyBorder="1" applyProtection="1"/>
    <xf numFmtId="3" fontId="2" fillId="9" borderId="9" xfId="0" applyNumberFormat="1" applyFont="1" applyFill="1" applyBorder="1" applyProtection="1"/>
    <xf numFmtId="3" fontId="2" fillId="9" borderId="2" xfId="0" applyNumberFormat="1" applyFont="1" applyFill="1" applyBorder="1" applyProtection="1"/>
    <xf numFmtId="3" fontId="2" fillId="9" borderId="1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9" borderId="4" xfId="0" applyFont="1" applyFill="1" applyBorder="1" applyProtection="1"/>
    <xf numFmtId="3" fontId="2" fillId="9" borderId="4" xfId="0" applyNumberFormat="1" applyFont="1" applyFill="1" applyBorder="1" applyProtection="1"/>
    <xf numFmtId="0" fontId="4" fillId="0" borderId="27" xfId="0" applyFont="1" applyFill="1" applyBorder="1" applyProtection="1"/>
    <xf numFmtId="3" fontId="4" fillId="8" borderId="27" xfId="0" applyNumberFormat="1" applyFont="1" applyFill="1" applyBorder="1" applyProtection="1"/>
    <xf numFmtId="1" fontId="2" fillId="0" borderId="27" xfId="0" applyNumberFormat="1" applyFont="1" applyBorder="1" applyProtection="1"/>
    <xf numFmtId="0" fontId="2" fillId="0" borderId="27" xfId="0" applyFont="1" applyFill="1" applyBorder="1" applyProtection="1"/>
    <xf numFmtId="0" fontId="4" fillId="9" borderId="27" xfId="0" applyFont="1" applyFill="1" applyBorder="1" applyProtection="1"/>
    <xf numFmtId="2" fontId="5" fillId="0" borderId="27" xfId="0" applyNumberFormat="1" applyFont="1" applyBorder="1" applyAlignment="1" applyProtection="1">
      <alignment horizontal="right" vertical="center"/>
    </xf>
    <xf numFmtId="0" fontId="2" fillId="5" borderId="25" xfId="0" applyFont="1" applyFill="1" applyBorder="1" applyProtection="1"/>
    <xf numFmtId="0" fontId="2" fillId="9" borderId="27" xfId="0" applyFont="1" applyFill="1" applyBorder="1" applyProtection="1"/>
    <xf numFmtId="2" fontId="2" fillId="0" borderId="27" xfId="0" applyNumberFormat="1" applyFont="1" applyBorder="1" applyAlignment="1" applyProtection="1">
      <alignment horizontal="right"/>
    </xf>
    <xf numFmtId="3" fontId="2" fillId="9" borderId="27" xfId="0" applyNumberFormat="1" applyFont="1" applyFill="1" applyBorder="1" applyProtection="1"/>
    <xf numFmtId="3" fontId="4" fillId="0" borderId="10" xfId="0" applyNumberFormat="1" applyFont="1" applyBorder="1" applyAlignment="1" applyProtection="1">
      <alignment horizontal="right"/>
    </xf>
    <xf numFmtId="3" fontId="4" fillId="0" borderId="13" xfId="0" applyNumberFormat="1" applyFont="1" applyBorder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" fontId="2" fillId="0" borderId="13" xfId="0" applyNumberFormat="1" applyFont="1" applyFill="1" applyBorder="1" applyProtection="1"/>
    <xf numFmtId="3" fontId="3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3" fontId="2" fillId="0" borderId="2" xfId="0" applyNumberFormat="1" applyFont="1" applyBorder="1" applyProtection="1"/>
    <xf numFmtId="3" fontId="2" fillId="0" borderId="13" xfId="0" applyNumberFormat="1" applyFont="1" applyFill="1" applyBorder="1" applyProtection="1"/>
    <xf numFmtId="1" fontId="2" fillId="9" borderId="25" xfId="0" applyNumberFormat="1" applyFont="1" applyFill="1" applyBorder="1" applyProtection="1"/>
    <xf numFmtId="3" fontId="2" fillId="0" borderId="27" xfId="0" applyNumberFormat="1" applyFont="1" applyBorder="1" applyProtection="1"/>
    <xf numFmtId="0" fontId="2" fillId="0" borderId="10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Protection="1"/>
    <xf numFmtId="0" fontId="2" fillId="0" borderId="13" xfId="0" applyFont="1" applyFill="1" applyBorder="1" applyAlignment="1" applyProtection="1">
      <alignment horizontal="right" vertical="center"/>
    </xf>
    <xf numFmtId="1" fontId="2" fillId="0" borderId="2" xfId="0" applyNumberFormat="1" applyFont="1" applyFill="1" applyBorder="1" applyProtection="1"/>
    <xf numFmtId="1" fontId="2" fillId="0" borderId="9" xfId="0" applyNumberFormat="1" applyFont="1" applyFill="1" applyBorder="1" applyProtection="1"/>
    <xf numFmtId="1" fontId="2" fillId="0" borderId="27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0" fillId="0" borderId="3" xfId="0" applyBorder="1"/>
    <xf numFmtId="3" fontId="4" fillId="9" borderId="2" xfId="0" applyNumberFormat="1" applyFont="1" applyFill="1" applyBorder="1" applyProtection="1"/>
    <xf numFmtId="3" fontId="2" fillId="5" borderId="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3" fontId="2" fillId="5" borderId="0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0" fontId="2" fillId="5" borderId="27" xfId="0" applyFont="1" applyFill="1" applyBorder="1" applyProtection="1"/>
    <xf numFmtId="1" fontId="2" fillId="0" borderId="10" xfId="0" applyNumberFormat="1" applyFont="1" applyFill="1" applyBorder="1" applyProtection="1"/>
    <xf numFmtId="3" fontId="2" fillId="0" borderId="10" xfId="0" applyNumberFormat="1" applyFont="1" applyBorder="1" applyProtection="1"/>
    <xf numFmtId="3" fontId="4" fillId="9" borderId="27" xfId="0" applyNumberFormat="1" applyFont="1" applyFill="1" applyBorder="1" applyProtection="1"/>
    <xf numFmtId="3" fontId="4" fillId="9" borderId="3" xfId="0" applyNumberFormat="1" applyFont="1" applyFill="1" applyBorder="1" applyProtection="1"/>
    <xf numFmtId="0" fontId="2" fillId="9" borderId="4" xfId="0" applyFont="1" applyFill="1" applyBorder="1" applyProtection="1"/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Protection="1"/>
    <xf numFmtId="0" fontId="2" fillId="0" borderId="4" xfId="0" applyFont="1" applyFill="1" applyBorder="1" applyProtection="1"/>
    <xf numFmtId="2" fontId="5" fillId="0" borderId="4" xfId="0" applyNumberFormat="1" applyFont="1" applyBorder="1" applyAlignment="1" applyProtection="1">
      <alignment horizontal="right" vertical="center"/>
    </xf>
    <xf numFmtId="2" fontId="2" fillId="0" borderId="4" xfId="0" applyNumberFormat="1" applyFont="1" applyBorder="1" applyProtection="1"/>
    <xf numFmtId="0" fontId="4" fillId="0" borderId="2" xfId="0" applyFont="1" applyFill="1" applyBorder="1" applyProtection="1"/>
    <xf numFmtId="0" fontId="11" fillId="0" borderId="2" xfId="0" applyFont="1" applyFill="1" applyBorder="1"/>
    <xf numFmtId="0" fontId="1" fillId="0" borderId="2" xfId="0" applyFont="1" applyFill="1" applyBorder="1"/>
    <xf numFmtId="166" fontId="0" fillId="0" borderId="2" xfId="1" applyNumberFormat="1" applyFont="1" applyBorder="1"/>
    <xf numFmtId="1" fontId="11" fillId="0" borderId="2" xfId="0" applyNumberFormat="1" applyFont="1" applyBorder="1"/>
    <xf numFmtId="10" fontId="0" fillId="0" borderId="2" xfId="1" applyNumberFormat="1" applyFont="1" applyBorder="1"/>
    <xf numFmtId="10" fontId="0" fillId="0" borderId="25" xfId="1" applyNumberFormat="1" applyFont="1" applyBorder="1"/>
    <xf numFmtId="3" fontId="0" fillId="0" borderId="0" xfId="0" applyNumberFormat="1"/>
    <xf numFmtId="3" fontId="11" fillId="0" borderId="2" xfId="0" applyNumberFormat="1" applyFont="1" applyBorder="1"/>
    <xf numFmtId="0" fontId="3" fillId="0" borderId="0" xfId="0" applyNumberFormat="1" applyFont="1" applyFill="1" applyBorder="1" applyAlignment="1" applyProtection="1">
      <alignment horizontal="center" vertical="center"/>
    </xf>
    <xf numFmtId="1" fontId="2" fillId="9" borderId="2" xfId="0" applyNumberFormat="1" applyFont="1" applyFill="1" applyBorder="1" applyProtection="1"/>
    <xf numFmtId="0" fontId="16" fillId="0" borderId="0" xfId="0" applyFont="1" applyProtection="1"/>
    <xf numFmtId="1" fontId="4" fillId="0" borderId="13" xfId="0" applyNumberFormat="1" applyFont="1" applyFill="1" applyBorder="1" applyAlignment="1" applyProtection="1">
      <alignment horizontal="right" vertical="center"/>
    </xf>
    <xf numFmtId="0" fontId="1" fillId="0" borderId="9" xfId="0" applyFont="1" applyBorder="1"/>
    <xf numFmtId="0" fontId="1" fillId="0" borderId="2" xfId="0" applyFont="1" applyBorder="1"/>
    <xf numFmtId="3" fontId="16" fillId="0" borderId="0" xfId="0" applyNumberFormat="1" applyFont="1" applyProtection="1"/>
    <xf numFmtId="164" fontId="4" fillId="11" borderId="21" xfId="0" applyNumberFormat="1" applyFont="1" applyFill="1" applyBorder="1" applyAlignment="1" applyProtection="1">
      <alignment vertical="center"/>
    </xf>
    <xf numFmtId="164" fontId="4" fillId="16" borderId="20" xfId="0" applyNumberFormat="1" applyFont="1" applyFill="1" applyBorder="1" applyAlignment="1" applyProtection="1">
      <alignment vertical="center"/>
    </xf>
    <xf numFmtId="17" fontId="4" fillId="17" borderId="33" xfId="0" applyNumberFormat="1" applyFont="1" applyFill="1" applyBorder="1" applyAlignment="1" applyProtection="1">
      <alignment horizontal="center" vertical="center"/>
    </xf>
    <xf numFmtId="164" fontId="4" fillId="17" borderId="20" xfId="0" applyNumberFormat="1" applyFont="1" applyFill="1" applyBorder="1" applyAlignment="1" applyProtection="1">
      <alignment horizontal="center" vertical="center"/>
    </xf>
    <xf numFmtId="17" fontId="4" fillId="13" borderId="31" xfId="0" applyNumberFormat="1" applyFont="1" applyFill="1" applyBorder="1" applyAlignment="1" applyProtection="1">
      <alignment horizontal="center"/>
    </xf>
    <xf numFmtId="164" fontId="4" fillId="13" borderId="4" xfId="0" applyNumberFormat="1" applyFont="1" applyFill="1" applyBorder="1" applyAlignment="1" applyProtection="1">
      <alignment vertical="center"/>
    </xf>
    <xf numFmtId="164" fontId="4" fillId="18" borderId="45" xfId="0" applyNumberFormat="1" applyFont="1" applyFill="1" applyBorder="1" applyAlignment="1" applyProtection="1">
      <alignment vertical="center"/>
    </xf>
    <xf numFmtId="164" fontId="4" fillId="18" borderId="46" xfId="0" applyNumberFormat="1" applyFont="1" applyFill="1" applyBorder="1" applyAlignment="1" applyProtection="1">
      <alignment vertical="center"/>
    </xf>
    <xf numFmtId="164" fontId="4" fillId="18" borderId="47" xfId="0" applyNumberFormat="1" applyFont="1" applyFill="1" applyBorder="1" applyAlignment="1" applyProtection="1">
      <alignment vertical="center"/>
    </xf>
    <xf numFmtId="164" fontId="4" fillId="15" borderId="17" xfId="0" applyNumberFormat="1" applyFont="1" applyFill="1" applyBorder="1" applyAlignment="1" applyProtection="1">
      <alignment horizontal="center" vertical="center"/>
    </xf>
    <xf numFmtId="164" fontId="4" fillId="15" borderId="12" xfId="0" applyNumberFormat="1" applyFont="1" applyFill="1" applyBorder="1" applyAlignment="1" applyProtection="1">
      <alignment vertical="center"/>
    </xf>
    <xf numFmtId="164" fontId="4" fillId="19" borderId="43" xfId="0" applyNumberFormat="1" applyFont="1" applyFill="1" applyBorder="1" applyAlignment="1" applyProtection="1">
      <alignment vertical="center"/>
    </xf>
    <xf numFmtId="17" fontId="4" fillId="11" borderId="31" xfId="0" applyNumberFormat="1" applyFont="1" applyFill="1" applyBorder="1" applyAlignment="1" applyProtection="1">
      <alignment horizontal="center"/>
    </xf>
    <xf numFmtId="164" fontId="4" fillId="12" borderId="17" xfId="0" applyNumberFormat="1" applyFont="1" applyFill="1" applyBorder="1" applyAlignment="1" applyProtection="1">
      <alignment horizontal="center" vertical="center"/>
    </xf>
    <xf numFmtId="164" fontId="4" fillId="12" borderId="42" xfId="0" applyNumberFormat="1" applyFont="1" applyFill="1" applyBorder="1" applyAlignment="1" applyProtection="1">
      <alignment vertical="center"/>
    </xf>
    <xf numFmtId="164" fontId="4" fillId="20" borderId="21" xfId="0" applyNumberFormat="1" applyFont="1" applyFill="1" applyBorder="1" applyAlignment="1" applyProtection="1">
      <alignment vertical="center"/>
    </xf>
    <xf numFmtId="164" fontId="4" fillId="7" borderId="23" xfId="0" applyNumberFormat="1" applyFont="1" applyFill="1" applyBorder="1" applyAlignment="1" applyProtection="1">
      <alignment vertical="center"/>
    </xf>
    <xf numFmtId="164" fontId="4" fillId="7" borderId="10" xfId="0" applyNumberFormat="1" applyFont="1" applyFill="1" applyBorder="1" applyAlignment="1" applyProtection="1">
      <alignment vertical="center"/>
    </xf>
    <xf numFmtId="164" fontId="4" fillId="20" borderId="21" xfId="0" applyNumberFormat="1" applyFont="1" applyFill="1" applyBorder="1" applyAlignment="1" applyProtection="1">
      <alignment horizontal="center" vertical="center"/>
    </xf>
    <xf numFmtId="164" fontId="4" fillId="7" borderId="2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19" borderId="20" xfId="0" applyNumberFormat="1" applyFont="1" applyFill="1" applyBorder="1" applyAlignment="1" applyProtection="1">
      <alignment horizontal="center" vertical="center"/>
    </xf>
    <xf numFmtId="164" fontId="4" fillId="19" borderId="43" xfId="0" applyNumberFormat="1" applyFont="1" applyFill="1" applyBorder="1" applyAlignment="1" applyProtection="1">
      <alignment horizontal="center" vertical="center"/>
    </xf>
    <xf numFmtId="17" fontId="4" fillId="18" borderId="20" xfId="0" applyNumberFormat="1" applyFont="1" applyFill="1" applyBorder="1" applyAlignment="1" applyProtection="1">
      <alignment horizontal="center"/>
    </xf>
    <xf numFmtId="17" fontId="4" fillId="18" borderId="42" xfId="0" applyNumberFormat="1" applyFont="1" applyFill="1" applyBorder="1" applyAlignment="1" applyProtection="1">
      <alignment horizontal="center"/>
    </xf>
    <xf numFmtId="17" fontId="4" fillId="18" borderId="43" xfId="0" applyNumberFormat="1" applyFont="1" applyFill="1" applyBorder="1" applyAlignment="1" applyProtection="1">
      <alignment horizontal="center"/>
    </xf>
    <xf numFmtId="17" fontId="4" fillId="6" borderId="20" xfId="0" applyNumberFormat="1" applyFont="1" applyFill="1" applyBorder="1" applyAlignment="1" applyProtection="1">
      <alignment horizontal="center"/>
    </xf>
    <xf numFmtId="17" fontId="4" fillId="6" borderId="42" xfId="0" applyNumberFormat="1" applyFont="1" applyFill="1" applyBorder="1" applyAlignment="1" applyProtection="1">
      <alignment horizontal="center"/>
    </xf>
    <xf numFmtId="17" fontId="4" fillId="6" borderId="43" xfId="0" applyNumberFormat="1" applyFont="1" applyFill="1" applyBorder="1" applyAlignment="1" applyProtection="1">
      <alignment horizontal="center"/>
    </xf>
    <xf numFmtId="17" fontId="4" fillId="14" borderId="32" xfId="0" applyNumberFormat="1" applyFont="1" applyFill="1" applyBorder="1" applyAlignment="1" applyProtection="1">
      <alignment horizontal="center"/>
    </xf>
    <xf numFmtId="17" fontId="4" fillId="14" borderId="17" xfId="0" applyNumberFormat="1" applyFont="1" applyFill="1" applyBorder="1" applyAlignment="1" applyProtection="1">
      <alignment horizontal="center"/>
    </xf>
    <xf numFmtId="17" fontId="4" fillId="14" borderId="33" xfId="0" applyNumberFormat="1" applyFont="1" applyFill="1" applyBorder="1" applyAlignment="1" applyProtection="1">
      <alignment horizontal="center"/>
    </xf>
    <xf numFmtId="17" fontId="4" fillId="20" borderId="32" xfId="0" applyNumberFormat="1" applyFont="1" applyFill="1" applyBorder="1" applyAlignment="1" applyProtection="1">
      <alignment horizontal="center"/>
    </xf>
    <xf numFmtId="17" fontId="4" fillId="20" borderId="17" xfId="0" applyNumberFormat="1" applyFont="1" applyFill="1" applyBorder="1" applyAlignment="1" applyProtection="1">
      <alignment horizontal="center"/>
    </xf>
    <xf numFmtId="17" fontId="4" fillId="20" borderId="3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IN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/>
              <a:t>Net Number of Borrowers </a:t>
            </a:r>
          </a:p>
        </c:rich>
      </c:tx>
      <c:layout>
        <c:manualLayout>
          <c:xMode val="edge"/>
          <c:yMode val="edge"/>
          <c:x val="0.43137317272428516"/>
          <c:y val="1.9011203366116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385084348317"/>
          <c:y val="0.13307984790874317"/>
          <c:w val="0.78582317859041961"/>
          <c:h val="0.5323193916349809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Charts!$N$5:$N$40</c:f>
              <c:numCache>
                <c:formatCode>mmm\-yy</c:formatCode>
                <c:ptCount val="36"/>
                <c:pt idx="0">
                  <c:v>41365</c:v>
                </c:pt>
                <c:pt idx="1">
                  <c:v>41395</c:v>
                </c:pt>
                <c:pt idx="2">
                  <c:v>41438</c:v>
                </c:pt>
                <c:pt idx="3">
                  <c:v>41468</c:v>
                </c:pt>
                <c:pt idx="4">
                  <c:v>41499</c:v>
                </c:pt>
                <c:pt idx="5">
                  <c:v>41530</c:v>
                </c:pt>
                <c:pt idx="6">
                  <c:v>41560</c:v>
                </c:pt>
                <c:pt idx="7">
                  <c:v>41591</c:v>
                </c:pt>
                <c:pt idx="8">
                  <c:v>41609</c:v>
                </c:pt>
                <c:pt idx="9">
                  <c:v>41640</c:v>
                </c:pt>
                <c:pt idx="10">
                  <c:v>41672</c:v>
                </c:pt>
                <c:pt idx="11">
                  <c:v>41700</c:v>
                </c:pt>
                <c:pt idx="12">
                  <c:v>41743</c:v>
                </c:pt>
                <c:pt idx="13">
                  <c:v>41773</c:v>
                </c:pt>
                <c:pt idx="14">
                  <c:v>41804</c:v>
                </c:pt>
                <c:pt idx="15">
                  <c:v>41834</c:v>
                </c:pt>
                <c:pt idx="16">
                  <c:v>41865</c:v>
                </c:pt>
                <c:pt idx="17">
                  <c:v>41896</c:v>
                </c:pt>
                <c:pt idx="18">
                  <c:v>41926</c:v>
                </c:pt>
                <c:pt idx="19">
                  <c:v>41957</c:v>
                </c:pt>
                <c:pt idx="20">
                  <c:v>41987</c:v>
                </c:pt>
                <c:pt idx="21">
                  <c:v>42005</c:v>
                </c:pt>
                <c:pt idx="22">
                  <c:v>42036</c:v>
                </c:pt>
                <c:pt idx="23">
                  <c:v>42078</c:v>
                </c:pt>
                <c:pt idx="24">
                  <c:v>42109</c:v>
                </c:pt>
                <c:pt idx="25">
                  <c:v>42139</c:v>
                </c:pt>
                <c:pt idx="26">
                  <c:v>42170</c:v>
                </c:pt>
                <c:pt idx="27">
                  <c:v>42200</c:v>
                </c:pt>
                <c:pt idx="28">
                  <c:v>42231</c:v>
                </c:pt>
                <c:pt idx="29">
                  <c:v>42262</c:v>
                </c:pt>
                <c:pt idx="30">
                  <c:v>42292</c:v>
                </c:pt>
                <c:pt idx="31">
                  <c:v>42323</c:v>
                </c:pt>
                <c:pt idx="32">
                  <c:v>42353</c:v>
                </c:pt>
                <c:pt idx="33">
                  <c:v>42384</c:v>
                </c:pt>
                <c:pt idx="34">
                  <c:v>42416</c:v>
                </c:pt>
                <c:pt idx="35">
                  <c:v>42445</c:v>
                </c:pt>
              </c:numCache>
            </c:numRef>
          </c:cat>
          <c:val>
            <c:numRef>
              <c:f>Charts!$O$5:$O$40</c:f>
              <c:numCache>
                <c:formatCode>General</c:formatCode>
                <c:ptCount val="36"/>
                <c:pt idx="0">
                  <c:v>16376</c:v>
                </c:pt>
                <c:pt idx="1">
                  <c:v>15916</c:v>
                </c:pt>
                <c:pt idx="2">
                  <c:v>15687</c:v>
                </c:pt>
                <c:pt idx="3">
                  <c:v>16200</c:v>
                </c:pt>
                <c:pt idx="4">
                  <c:v>15984</c:v>
                </c:pt>
                <c:pt idx="5">
                  <c:v>16140</c:v>
                </c:pt>
                <c:pt idx="6">
                  <c:v>16381</c:v>
                </c:pt>
                <c:pt idx="7">
                  <c:v>16442</c:v>
                </c:pt>
                <c:pt idx="8">
                  <c:v>17338</c:v>
                </c:pt>
                <c:pt idx="9">
                  <c:v>17732</c:v>
                </c:pt>
                <c:pt idx="10">
                  <c:v>16896</c:v>
                </c:pt>
                <c:pt idx="11">
                  <c:v>16804</c:v>
                </c:pt>
                <c:pt idx="12">
                  <c:v>16462</c:v>
                </c:pt>
                <c:pt idx="13">
                  <c:v>16298</c:v>
                </c:pt>
                <c:pt idx="14">
                  <c:v>16488</c:v>
                </c:pt>
                <c:pt idx="15">
                  <c:v>15689</c:v>
                </c:pt>
                <c:pt idx="16">
                  <c:v>15788</c:v>
                </c:pt>
                <c:pt idx="17">
                  <c:v>16541</c:v>
                </c:pt>
                <c:pt idx="18">
                  <c:v>17045</c:v>
                </c:pt>
                <c:pt idx="19">
                  <c:v>15521</c:v>
                </c:pt>
                <c:pt idx="20">
                  <c:v>16006</c:v>
                </c:pt>
                <c:pt idx="21">
                  <c:v>15950</c:v>
                </c:pt>
                <c:pt idx="22">
                  <c:v>15941</c:v>
                </c:pt>
                <c:pt idx="23">
                  <c:v>17219</c:v>
                </c:pt>
                <c:pt idx="24">
                  <c:v>16796</c:v>
                </c:pt>
                <c:pt idx="25">
                  <c:v>17023</c:v>
                </c:pt>
                <c:pt idx="26">
                  <c:v>16718</c:v>
                </c:pt>
                <c:pt idx="27">
                  <c:v>17003</c:v>
                </c:pt>
                <c:pt idx="28">
                  <c:v>17531</c:v>
                </c:pt>
                <c:pt idx="29">
                  <c:v>18700</c:v>
                </c:pt>
                <c:pt idx="30">
                  <c:v>19295</c:v>
                </c:pt>
                <c:pt idx="31">
                  <c:v>19438</c:v>
                </c:pt>
                <c:pt idx="32">
                  <c:v>19612</c:v>
                </c:pt>
                <c:pt idx="33">
                  <c:v>19953</c:v>
                </c:pt>
                <c:pt idx="34">
                  <c:v>21262</c:v>
                </c:pt>
                <c:pt idx="35">
                  <c:v>21707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9395584"/>
        <c:axId val="179397760"/>
      </c:barChart>
      <c:dateAx>
        <c:axId val="17939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IN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Months</a:t>
                </a:r>
              </a:p>
            </c:rich>
          </c:tx>
          <c:layout>
            <c:manualLayout>
              <c:xMode val="edge"/>
              <c:yMode val="edge"/>
              <c:x val="0.47963880342771731"/>
              <c:y val="0.90114076207400162"/>
            </c:manualLayout>
          </c:layout>
          <c:overlay val="0"/>
          <c:spPr>
            <a:noFill/>
            <a:ln w="25400">
              <a:noFill/>
            </a:ln>
          </c:spPr>
        </c:title>
        <c:numFmt formatCode="mmm\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3000000" vert="horz"/>
          <a:lstStyle/>
          <a:p>
            <a:pPr>
              <a:defRPr lang="en-IN"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9397760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7939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lang="en-IN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Number of Borrowers</a:t>
                </a:r>
              </a:p>
            </c:rich>
          </c:tx>
          <c:layout>
            <c:manualLayout>
              <c:xMode val="edge"/>
              <c:yMode val="edge"/>
              <c:x val="7.5414993655597172E-3"/>
              <c:y val="3.422041116455774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IN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39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IN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/>
              <a:t> Loans Outstanding (Rs.)</a:t>
            </a:r>
          </a:p>
        </c:rich>
      </c:tx>
      <c:layout>
        <c:manualLayout>
          <c:xMode val="edge"/>
          <c:yMode val="edge"/>
          <c:x val="0.37104114907172475"/>
          <c:y val="1.50755479889338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97914601472511"/>
          <c:y val="0.10804020100502512"/>
          <c:w val="0.74208254101053006"/>
          <c:h val="0.6281407035176006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Charts!$N$5:$N$40</c:f>
              <c:numCache>
                <c:formatCode>mmm\-yy</c:formatCode>
                <c:ptCount val="36"/>
                <c:pt idx="0">
                  <c:v>41365</c:v>
                </c:pt>
                <c:pt idx="1">
                  <c:v>41395</c:v>
                </c:pt>
                <c:pt idx="2">
                  <c:v>41438</c:v>
                </c:pt>
                <c:pt idx="3">
                  <c:v>41468</c:v>
                </c:pt>
                <c:pt idx="4">
                  <c:v>41499</c:v>
                </c:pt>
                <c:pt idx="5">
                  <c:v>41530</c:v>
                </c:pt>
                <c:pt idx="6">
                  <c:v>41560</c:v>
                </c:pt>
                <c:pt idx="7">
                  <c:v>41591</c:v>
                </c:pt>
                <c:pt idx="8">
                  <c:v>41609</c:v>
                </c:pt>
                <c:pt idx="9">
                  <c:v>41640</c:v>
                </c:pt>
                <c:pt idx="10">
                  <c:v>41672</c:v>
                </c:pt>
                <c:pt idx="11">
                  <c:v>41700</c:v>
                </c:pt>
                <c:pt idx="12">
                  <c:v>41743</c:v>
                </c:pt>
                <c:pt idx="13">
                  <c:v>41773</c:v>
                </c:pt>
                <c:pt idx="14">
                  <c:v>41804</c:v>
                </c:pt>
                <c:pt idx="15">
                  <c:v>41834</c:v>
                </c:pt>
                <c:pt idx="16">
                  <c:v>41865</c:v>
                </c:pt>
                <c:pt idx="17">
                  <c:v>41896</c:v>
                </c:pt>
                <c:pt idx="18">
                  <c:v>41926</c:v>
                </c:pt>
                <c:pt idx="19">
                  <c:v>41957</c:v>
                </c:pt>
                <c:pt idx="20">
                  <c:v>41987</c:v>
                </c:pt>
                <c:pt idx="21">
                  <c:v>42005</c:v>
                </c:pt>
                <c:pt idx="22">
                  <c:v>42036</c:v>
                </c:pt>
                <c:pt idx="23">
                  <c:v>42078</c:v>
                </c:pt>
                <c:pt idx="24">
                  <c:v>42109</c:v>
                </c:pt>
                <c:pt idx="25">
                  <c:v>42139</c:v>
                </c:pt>
                <c:pt idx="26">
                  <c:v>42170</c:v>
                </c:pt>
                <c:pt idx="27">
                  <c:v>42200</c:v>
                </c:pt>
                <c:pt idx="28">
                  <c:v>42231</c:v>
                </c:pt>
                <c:pt idx="29">
                  <c:v>42262</c:v>
                </c:pt>
                <c:pt idx="30">
                  <c:v>42292</c:v>
                </c:pt>
                <c:pt idx="31">
                  <c:v>42323</c:v>
                </c:pt>
                <c:pt idx="32">
                  <c:v>42353</c:v>
                </c:pt>
                <c:pt idx="33">
                  <c:v>42384</c:v>
                </c:pt>
                <c:pt idx="34">
                  <c:v>42416</c:v>
                </c:pt>
                <c:pt idx="35">
                  <c:v>42445</c:v>
                </c:pt>
              </c:numCache>
            </c:numRef>
          </c:cat>
          <c:val>
            <c:numRef>
              <c:f>Charts!$P$5:$P$40</c:f>
              <c:numCache>
                <c:formatCode>#,##0</c:formatCode>
                <c:ptCount val="36"/>
                <c:pt idx="0">
                  <c:v>113953778</c:v>
                </c:pt>
                <c:pt idx="1">
                  <c:v>115664498</c:v>
                </c:pt>
                <c:pt idx="2">
                  <c:v>111187032</c:v>
                </c:pt>
                <c:pt idx="3">
                  <c:v>111829770</c:v>
                </c:pt>
                <c:pt idx="4">
                  <c:v>109432378</c:v>
                </c:pt>
                <c:pt idx="5">
                  <c:v>106748115</c:v>
                </c:pt>
                <c:pt idx="6">
                  <c:v>111324421</c:v>
                </c:pt>
                <c:pt idx="7">
                  <c:v>109752085</c:v>
                </c:pt>
                <c:pt idx="8">
                  <c:v>115519825</c:v>
                </c:pt>
                <c:pt idx="9">
                  <c:v>125648121</c:v>
                </c:pt>
                <c:pt idx="10">
                  <c:v>124537582</c:v>
                </c:pt>
                <c:pt idx="11">
                  <c:v>134375425</c:v>
                </c:pt>
                <c:pt idx="12">
                  <c:v>129844380</c:v>
                </c:pt>
                <c:pt idx="13">
                  <c:v>130632499</c:v>
                </c:pt>
                <c:pt idx="14">
                  <c:v>129585088</c:v>
                </c:pt>
                <c:pt idx="15">
                  <c:v>125293485</c:v>
                </c:pt>
                <c:pt idx="16">
                  <c:v>130631598</c:v>
                </c:pt>
                <c:pt idx="17">
                  <c:v>124592013</c:v>
                </c:pt>
                <c:pt idx="18">
                  <c:v>119206404</c:v>
                </c:pt>
                <c:pt idx="19">
                  <c:v>113356255</c:v>
                </c:pt>
                <c:pt idx="20">
                  <c:v>121778503</c:v>
                </c:pt>
                <c:pt idx="21">
                  <c:v>127010449</c:v>
                </c:pt>
                <c:pt idx="22">
                  <c:v>134503017</c:v>
                </c:pt>
                <c:pt idx="23">
                  <c:v>162077689</c:v>
                </c:pt>
                <c:pt idx="24">
                  <c:v>158777758</c:v>
                </c:pt>
                <c:pt idx="25">
                  <c:v>160492433</c:v>
                </c:pt>
                <c:pt idx="26">
                  <c:v>152441782</c:v>
                </c:pt>
                <c:pt idx="27">
                  <c:v>151403475</c:v>
                </c:pt>
                <c:pt idx="28">
                  <c:v>154727666</c:v>
                </c:pt>
                <c:pt idx="29">
                  <c:v>169229654</c:v>
                </c:pt>
                <c:pt idx="30">
                  <c:v>172040297</c:v>
                </c:pt>
                <c:pt idx="31">
                  <c:v>164423383</c:v>
                </c:pt>
                <c:pt idx="32">
                  <c:v>168024001</c:v>
                </c:pt>
                <c:pt idx="33">
                  <c:v>173896557</c:v>
                </c:pt>
                <c:pt idx="34">
                  <c:v>194645171</c:v>
                </c:pt>
                <c:pt idx="35">
                  <c:v>208439304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0"/>
        <c:shape val="box"/>
        <c:axId val="179912064"/>
        <c:axId val="179922432"/>
        <c:axId val="0"/>
      </c:bar3DChart>
      <c:dateAx>
        <c:axId val="1799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IN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Months</a:t>
                </a:r>
              </a:p>
            </c:rich>
          </c:tx>
          <c:layout>
            <c:manualLayout>
              <c:xMode val="edge"/>
              <c:yMode val="edge"/>
              <c:x val="0.47963876802545896"/>
              <c:y val="0.89949748173370159"/>
            </c:manualLayout>
          </c:layout>
          <c:overlay val="0"/>
          <c:spPr>
            <a:noFill/>
            <a:ln w="25400">
              <a:noFill/>
            </a:ln>
          </c:spPr>
        </c:title>
        <c:numFmt formatCode="mmm\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000000" vert="horz"/>
          <a:lstStyle/>
          <a:p>
            <a:pPr>
              <a:defRPr lang="en-IN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9922432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79922432"/>
        <c:scaling>
          <c:orientation val="minMax"/>
          <c:min val="5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lang="en-IN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Amount of Loans (Rs.)</a:t>
                </a:r>
              </a:p>
            </c:rich>
          </c:tx>
          <c:layout>
            <c:manualLayout>
              <c:xMode val="edge"/>
              <c:yMode val="edge"/>
              <c:x val="7.5415280936296739E-3"/>
              <c:y val="0.208542526778747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IN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1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Charts!$P$41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cat>
            <c:strRef>
              <c:f>Charts!$O$57:$O$58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Charts!$P$57:$P$58</c:f>
              <c:numCache>
                <c:formatCode>0</c:formatCode>
                <c:ptCount val="2"/>
                <c:pt idx="0">
                  <c:v>58217840.706832185</c:v>
                </c:pt>
                <c:pt idx="1">
                  <c:v>150221463.29316783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Charts!$O$51:$P$51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cat>
            <c:strRef>
              <c:f>Charts!$O$52:$O$55</c:f>
              <c:strCache>
                <c:ptCount val="4"/>
                <c:pt idx="0">
                  <c:v>JLG</c:v>
                </c:pt>
                <c:pt idx="1">
                  <c:v>SHG</c:v>
                </c:pt>
                <c:pt idx="2">
                  <c:v>Watsan</c:v>
                </c:pt>
                <c:pt idx="3">
                  <c:v>Housing</c:v>
                </c:pt>
              </c:strCache>
            </c:strRef>
          </c:cat>
          <c:val>
            <c:numRef>
              <c:f>Charts!$P$52:$P$55</c:f>
              <c:numCache>
                <c:formatCode>#,##0</c:formatCode>
                <c:ptCount val="4"/>
                <c:pt idx="0">
                  <c:v>164757123</c:v>
                </c:pt>
                <c:pt idx="1">
                  <c:v>40246663</c:v>
                </c:pt>
                <c:pt idx="2">
                  <c:v>216518</c:v>
                </c:pt>
                <c:pt idx="3">
                  <c:v>3219000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680912514966967"/>
          <c:y val="0.35587728623023568"/>
          <c:w val="0.24491735189145045"/>
          <c:h val="0.5041338324482111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11</xdr:col>
      <xdr:colOff>57150</xdr:colOff>
      <xdr:row>15</xdr:row>
      <xdr:rowOff>19050</xdr:rowOff>
    </xdr:to>
    <xdr:graphicFrame macro="">
      <xdr:nvGraphicFramePr>
        <xdr:cNvPr id="31592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123825</xdr:rowOff>
    </xdr:from>
    <xdr:to>
      <xdr:col>11</xdr:col>
      <xdr:colOff>9525</xdr:colOff>
      <xdr:row>42</xdr:row>
      <xdr:rowOff>85725</xdr:rowOff>
    </xdr:to>
    <xdr:graphicFrame macro="">
      <xdr:nvGraphicFramePr>
        <xdr:cNvPr id="31592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21167</xdr:colOff>
      <xdr:row>45</xdr:row>
      <xdr:rowOff>116419</xdr:rowOff>
    </xdr:from>
    <xdr:to>
      <xdr:col>6</xdr:col>
      <xdr:colOff>137583</xdr:colOff>
      <xdr:row>56</xdr:row>
      <xdr:rowOff>10584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370417</xdr:colOff>
      <xdr:row>46</xdr:row>
      <xdr:rowOff>10948</xdr:rowOff>
    </xdr:from>
    <xdr:to>
      <xdr:col>11</xdr:col>
      <xdr:colOff>131379</xdr:colOff>
      <xdr:row>56</xdr:row>
      <xdr:rowOff>10584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zoomScale="80" zoomScaleNormal="100" zoomScaleSheetLayoutView="80" zoomScalePageLayoutView="81" workbookViewId="0">
      <pane xSplit="2" ySplit="3" topLeftCell="C4" activePane="bottomRight" state="frozen"/>
      <selection pane="topRight" activeCell="C1" sqref="C1"/>
      <selection pane="bottomLeft" activeCell="A3" sqref="A3"/>
      <selection pane="bottomRight" sqref="A1:E1"/>
    </sheetView>
  </sheetViews>
  <sheetFormatPr defaultColWidth="9.140625" defaultRowHeight="13.5" x14ac:dyDescent="0.25"/>
  <cols>
    <col min="1" max="1" width="8.42578125" style="11" bestFit="1" customWidth="1"/>
    <col min="2" max="2" width="49.42578125" style="4" customWidth="1"/>
    <col min="3" max="3" width="14.28515625" style="4" bestFit="1" customWidth="1"/>
    <col min="4" max="4" width="16.42578125" style="4" bestFit="1" customWidth="1"/>
    <col min="5" max="5" width="21.42578125" style="4" bestFit="1" customWidth="1"/>
    <col min="6" max="16384" width="9.140625" style="4"/>
  </cols>
  <sheetData>
    <row r="1" spans="1:5" ht="18.75" x14ac:dyDescent="0.25">
      <c r="A1" s="313" t="s">
        <v>94</v>
      </c>
      <c r="B1" s="313"/>
      <c r="C1" s="313"/>
      <c r="D1" s="313"/>
      <c r="E1" s="313"/>
    </row>
    <row r="2" spans="1:5" ht="19.5" thickBot="1" x14ac:dyDescent="0.3">
      <c r="A2" s="17"/>
      <c r="B2" s="18" t="s">
        <v>93</v>
      </c>
      <c r="C2" s="38">
        <v>42440</v>
      </c>
      <c r="D2" s="117"/>
      <c r="E2" s="121"/>
    </row>
    <row r="3" spans="1:5" s="5" customFormat="1" ht="17.25" thickBot="1" x14ac:dyDescent="0.35">
      <c r="A3" s="45" t="s">
        <v>100</v>
      </c>
      <c r="B3" s="65" t="s">
        <v>80</v>
      </c>
      <c r="C3" s="36" t="s">
        <v>123</v>
      </c>
      <c r="D3" s="122" t="s">
        <v>90</v>
      </c>
      <c r="E3" s="123" t="s">
        <v>91</v>
      </c>
    </row>
    <row r="4" spans="1:5" s="5" customFormat="1" ht="17.25" thickBot="1" x14ac:dyDescent="0.35">
      <c r="A4" s="28"/>
      <c r="B4" s="25" t="s">
        <v>79</v>
      </c>
      <c r="C4" s="124" t="s">
        <v>151</v>
      </c>
      <c r="D4" s="125" t="s">
        <v>134</v>
      </c>
      <c r="E4" s="125" t="s">
        <v>143</v>
      </c>
    </row>
    <row r="5" spans="1:5" s="5" customFormat="1" ht="17.25" thickBot="1" x14ac:dyDescent="0.3">
      <c r="A5" s="26">
        <v>1</v>
      </c>
      <c r="B5" s="66" t="s">
        <v>101</v>
      </c>
      <c r="C5" s="126"/>
      <c r="D5" s="98"/>
      <c r="E5" s="98"/>
    </row>
    <row r="6" spans="1:5" s="5" customFormat="1" ht="16.5" x14ac:dyDescent="0.3">
      <c r="A6" s="47">
        <v>1.1000000000000001</v>
      </c>
      <c r="B6" s="67" t="s">
        <v>2</v>
      </c>
      <c r="C6" s="27">
        <f>D6+E6</f>
        <v>21707</v>
      </c>
      <c r="D6" s="127">
        <f>'Own portfolio'!C6</f>
        <v>16491</v>
      </c>
      <c r="E6" s="193">
        <f>'Manage portfolio-YBL'!C6+'Managed portfolio-MFL'!C6</f>
        <v>5216</v>
      </c>
    </row>
    <row r="7" spans="1:5" s="5" customFormat="1" ht="15.75" x14ac:dyDescent="0.25">
      <c r="A7" s="48">
        <v>1.2</v>
      </c>
      <c r="B7" s="24" t="s">
        <v>4</v>
      </c>
      <c r="C7" s="24">
        <f t="shared" ref="C7:C10" si="0">D7+E7</f>
        <v>12205</v>
      </c>
      <c r="D7" s="99">
        <f>'Own portfolio'!C7</f>
        <v>8417</v>
      </c>
      <c r="E7" s="197">
        <f>'Manage portfolio-YBL'!C7+'Managed portfolio-MFL'!C7</f>
        <v>3788</v>
      </c>
    </row>
    <row r="8" spans="1:5" s="5" customFormat="1" ht="15.75" x14ac:dyDescent="0.25">
      <c r="A8" s="48">
        <v>1.3</v>
      </c>
      <c r="B8" s="24" t="s">
        <v>5</v>
      </c>
      <c r="C8" s="24">
        <f t="shared" si="0"/>
        <v>3202</v>
      </c>
      <c r="D8" s="99">
        <f>'Own portfolio'!C8</f>
        <v>2716</v>
      </c>
      <c r="E8" s="197">
        <f>'Manage portfolio-YBL'!C8+'Managed portfolio-MFL'!C8</f>
        <v>486</v>
      </c>
    </row>
    <row r="9" spans="1:5" s="5" customFormat="1" ht="15.75" x14ac:dyDescent="0.25">
      <c r="A9" s="48">
        <v>1.4</v>
      </c>
      <c r="B9" s="24" t="s">
        <v>6</v>
      </c>
      <c r="C9" s="24">
        <f t="shared" si="0"/>
        <v>2265</v>
      </c>
      <c r="D9" s="99">
        <f>'Own portfolio'!C9</f>
        <v>1961</v>
      </c>
      <c r="E9" s="197">
        <f>'Manage portfolio-YBL'!C9+'Managed portfolio-MFL'!C9</f>
        <v>304</v>
      </c>
    </row>
    <row r="10" spans="1:5" s="5" customFormat="1" ht="16.5" thickBot="1" x14ac:dyDescent="0.3">
      <c r="A10" s="48">
        <v>1.5</v>
      </c>
      <c r="B10" s="24" t="s">
        <v>7</v>
      </c>
      <c r="C10" s="24">
        <f t="shared" si="0"/>
        <v>4035</v>
      </c>
      <c r="D10" s="99">
        <f>'Own portfolio'!C10</f>
        <v>3397</v>
      </c>
      <c r="E10" s="197">
        <f>'Manage portfolio-YBL'!C10+'Managed portfolio-MFL'!C10</f>
        <v>638</v>
      </c>
    </row>
    <row r="11" spans="1:5" s="5" customFormat="1" ht="16.5" hidden="1" thickBot="1" x14ac:dyDescent="0.3">
      <c r="A11" s="49">
        <v>1.6</v>
      </c>
      <c r="B11" s="55" t="s">
        <v>8</v>
      </c>
      <c r="C11" s="24">
        <v>0</v>
      </c>
      <c r="D11" s="99">
        <v>0</v>
      </c>
      <c r="E11" s="99">
        <v>0</v>
      </c>
    </row>
    <row r="12" spans="1:5" s="5" customFormat="1" ht="17.25" thickBot="1" x14ac:dyDescent="0.3">
      <c r="A12" s="26">
        <v>2</v>
      </c>
      <c r="B12" s="66" t="s">
        <v>9</v>
      </c>
      <c r="C12" s="128"/>
      <c r="D12" s="98"/>
      <c r="E12" s="98"/>
    </row>
    <row r="13" spans="1:5" s="5" customFormat="1" ht="15.75" customHeight="1" x14ac:dyDescent="0.3">
      <c r="A13" s="47">
        <v>2.1</v>
      </c>
      <c r="B13" s="68" t="s">
        <v>10</v>
      </c>
      <c r="C13" s="195">
        <f>D13+E13</f>
        <v>21707</v>
      </c>
      <c r="D13" s="241">
        <f>'Own portfolio'!C13</f>
        <v>16491</v>
      </c>
      <c r="E13" s="241">
        <f>'Manage portfolio-YBL'!C13+'Managed portfolio-MFL'!C12</f>
        <v>5216</v>
      </c>
    </row>
    <row r="14" spans="1:5" s="5" customFormat="1" ht="16.5" customHeight="1" x14ac:dyDescent="0.3">
      <c r="A14" s="48">
        <v>2.2000000000000002</v>
      </c>
      <c r="B14" s="27" t="s">
        <v>12</v>
      </c>
      <c r="C14" s="129">
        <f t="shared" ref="C14:C24" si="1">D14+E14</f>
        <v>208439304</v>
      </c>
      <c r="D14" s="129">
        <f>'Own portfolio'!C14</f>
        <v>168192641</v>
      </c>
      <c r="E14" s="129">
        <f>'Manage portfolio-YBL'!C14+'Managed portfolio-MFL'!C13</f>
        <v>40246663</v>
      </c>
    </row>
    <row r="15" spans="1:5" s="5" customFormat="1" ht="15.75" x14ac:dyDescent="0.25">
      <c r="A15" s="48">
        <v>2.2999999999999998</v>
      </c>
      <c r="B15" s="24" t="s">
        <v>13</v>
      </c>
      <c r="C15" s="130">
        <f>C14/C13</f>
        <v>9602.4003316902381</v>
      </c>
      <c r="D15" s="131">
        <f>'Own portfolio'!C16</f>
        <v>10199.056515675216</v>
      </c>
      <c r="E15" s="244">
        <f>'Manage portfolio-YBL'!C15+'Managed portfolio-MFL'!C14</f>
        <v>15625.745318667196</v>
      </c>
    </row>
    <row r="16" spans="1:5" s="5" customFormat="1" ht="15.75" x14ac:dyDescent="0.25">
      <c r="A16" s="48">
        <v>2.4</v>
      </c>
      <c r="B16" s="24" t="s">
        <v>28</v>
      </c>
      <c r="C16" s="130">
        <f>D16+E16</f>
        <v>65</v>
      </c>
      <c r="D16" s="197">
        <f>'Own portfolio'!C17</f>
        <v>53</v>
      </c>
      <c r="E16" s="244">
        <f>'Manage portfolio-YBL'!C16+'Managed portfolio-MFL'!C15</f>
        <v>12</v>
      </c>
    </row>
    <row r="17" spans="1:5" s="5" customFormat="1" ht="15.75" x14ac:dyDescent="0.25">
      <c r="A17" s="48">
        <v>2.5</v>
      </c>
      <c r="B17" s="24" t="s">
        <v>29</v>
      </c>
      <c r="C17" s="130">
        <f>C6/C16</f>
        <v>333.95384615384614</v>
      </c>
      <c r="D17" s="131">
        <f>'Own portfolio'!C18</f>
        <v>311.15094339622641</v>
      </c>
      <c r="E17" s="244">
        <f>'Manage portfolio-YBL'!C17+'Managed portfolio-MFL'!C16</f>
        <v>889.33333333333337</v>
      </c>
    </row>
    <row r="18" spans="1:5" s="5" customFormat="1" ht="16.5" thickBot="1" x14ac:dyDescent="0.3">
      <c r="A18" s="48">
        <v>2.6</v>
      </c>
      <c r="B18" s="55" t="s">
        <v>30</v>
      </c>
      <c r="C18" s="130">
        <f>C14/C16</f>
        <v>3206758.5230769231</v>
      </c>
      <c r="D18" s="131">
        <f>'Own portfolio'!C19</f>
        <v>3173446.0566037735</v>
      </c>
      <c r="E18" s="244">
        <f>'Manage portfolio-YBL'!C18+'Managed portfolio-MFL'!C17</f>
        <v>3203556</v>
      </c>
    </row>
    <row r="19" spans="1:5" s="5" customFormat="1" ht="17.25" thickBot="1" x14ac:dyDescent="0.3">
      <c r="A19" s="26">
        <v>3</v>
      </c>
      <c r="B19" s="66" t="s">
        <v>17</v>
      </c>
      <c r="C19" s="128"/>
      <c r="D19" s="98"/>
      <c r="E19" s="98"/>
    </row>
    <row r="20" spans="1:5" s="5" customFormat="1" ht="16.5" x14ac:dyDescent="0.3">
      <c r="A20" s="48">
        <v>3.1</v>
      </c>
      <c r="B20" s="54" t="s">
        <v>19</v>
      </c>
      <c r="C20" s="27">
        <f>D20+E20</f>
        <v>2492</v>
      </c>
      <c r="D20" s="127">
        <f>'Own portfolio'!C21</f>
        <v>2192</v>
      </c>
      <c r="E20" s="193">
        <f>'Manage portfolio-YBL'!C20+'Managed portfolio-MFL'!C19</f>
        <v>300</v>
      </c>
    </row>
    <row r="21" spans="1:5" s="5" customFormat="1" ht="16.5" x14ac:dyDescent="0.3">
      <c r="A21" s="48">
        <v>3.2</v>
      </c>
      <c r="B21" s="24" t="s">
        <v>21</v>
      </c>
      <c r="C21" s="129">
        <f t="shared" si="1"/>
        <v>40382000</v>
      </c>
      <c r="D21" s="129">
        <f>'Own portfolio'!C22</f>
        <v>34956000</v>
      </c>
      <c r="E21" s="129">
        <f>'Manage portfolio-YBL'!C21+'Managed portfolio-MFL'!C20</f>
        <v>5426000</v>
      </c>
    </row>
    <row r="22" spans="1:5" s="5" customFormat="1" ht="15.75" x14ac:dyDescent="0.25">
      <c r="A22" s="48">
        <v>3.3</v>
      </c>
      <c r="B22" s="24" t="s">
        <v>22</v>
      </c>
      <c r="C22" s="24">
        <f>D22+E22</f>
        <v>26545762</v>
      </c>
      <c r="D22" s="99">
        <f>'Own portfolio'!C23</f>
        <v>17451432</v>
      </c>
      <c r="E22" s="197">
        <f>'Manage portfolio-YBL'!C22+'Managed portfolio-MFL'!C21</f>
        <v>9094330</v>
      </c>
    </row>
    <row r="23" spans="1:5" s="5" customFormat="1" ht="15.75" x14ac:dyDescent="0.25">
      <c r="A23" s="48">
        <v>3.4</v>
      </c>
      <c r="B23" s="24" t="s">
        <v>23</v>
      </c>
      <c r="C23" s="112">
        <f t="shared" si="1"/>
        <v>26450778</v>
      </c>
      <c r="D23" s="108">
        <f>'Own portfolio'!C24</f>
        <v>17394567</v>
      </c>
      <c r="E23" s="108">
        <f>'Manage portfolio-YBL'!C23+'Managed portfolio-MFL'!C22</f>
        <v>9056211</v>
      </c>
    </row>
    <row r="24" spans="1:5" s="5" customFormat="1" ht="16.5" thickBot="1" x14ac:dyDescent="0.3">
      <c r="A24" s="48">
        <v>3.5</v>
      </c>
      <c r="B24" s="57" t="s">
        <v>24</v>
      </c>
      <c r="C24" s="130">
        <f t="shared" si="1"/>
        <v>3707181.74168</v>
      </c>
      <c r="D24" s="99">
        <f>'Own portfolio'!C25</f>
        <v>2967557</v>
      </c>
      <c r="E24" s="244">
        <f>'Manage portfolio-YBL'!C25+'Managed portfolio-MFL'!C23</f>
        <v>739624.74167999998</v>
      </c>
    </row>
    <row r="25" spans="1:5" s="5" customFormat="1" ht="17.25" thickBot="1" x14ac:dyDescent="0.3">
      <c r="A25" s="26">
        <v>4</v>
      </c>
      <c r="B25" s="66" t="s">
        <v>26</v>
      </c>
      <c r="C25" s="128"/>
      <c r="D25" s="58"/>
      <c r="E25" s="98"/>
    </row>
    <row r="26" spans="1:5" s="5" customFormat="1" ht="16.5" x14ac:dyDescent="0.25">
      <c r="A26" s="48">
        <v>4.0999999999999996</v>
      </c>
      <c r="B26" s="67" t="s">
        <v>31</v>
      </c>
      <c r="C26" s="134">
        <f>(C49-C44-C45)/C14</f>
        <v>3.8804581692519947E-4</v>
      </c>
      <c r="D26" s="134">
        <f>(D49-D44-D45)/D14</f>
        <v>2.8816956385148862E-4</v>
      </c>
      <c r="E26" s="134">
        <f>(E49-E44-E45)/E14</f>
        <v>8.0543323554551586E-4</v>
      </c>
    </row>
    <row r="27" spans="1:5" s="5" customFormat="1" ht="17.25" thickBot="1" x14ac:dyDescent="0.35">
      <c r="A27" s="48">
        <v>4.2</v>
      </c>
      <c r="B27" s="69" t="s">
        <v>25</v>
      </c>
      <c r="C27" s="134">
        <f>(C14-C49)/C14</f>
        <v>0.99925144635869634</v>
      </c>
      <c r="D27" s="194">
        <f>'Own portfolio'!C28</f>
        <v>0.99947462029566447</v>
      </c>
      <c r="E27" s="134">
        <f>(E14-E49)/E14</f>
        <v>0.99831879229341325</v>
      </c>
    </row>
    <row r="28" spans="1:5" s="5" customFormat="1" ht="17.25" thickBot="1" x14ac:dyDescent="0.3">
      <c r="A28" s="26">
        <v>5</v>
      </c>
      <c r="B28" s="20" t="s">
        <v>42</v>
      </c>
      <c r="C28" s="136"/>
      <c r="D28" s="98"/>
      <c r="E28" s="98"/>
    </row>
    <row r="29" spans="1:5" s="5" customFormat="1" ht="17.25" thickBot="1" x14ac:dyDescent="0.3">
      <c r="A29" s="32" t="s">
        <v>44</v>
      </c>
      <c r="B29" s="102" t="s">
        <v>39</v>
      </c>
      <c r="C29" s="137"/>
      <c r="D29" s="135"/>
      <c r="E29" s="138"/>
    </row>
    <row r="30" spans="1:5" s="5" customFormat="1" ht="15.75" x14ac:dyDescent="0.25">
      <c r="A30" s="51" t="s">
        <v>53</v>
      </c>
      <c r="B30" s="60" t="s">
        <v>14</v>
      </c>
      <c r="C30" s="24">
        <f t="shared" ref="C30:C34" si="2">D30+E30</f>
        <v>8</v>
      </c>
      <c r="D30" s="99">
        <f>'Own portfolio'!C31</f>
        <v>6</v>
      </c>
      <c r="E30" s="197">
        <f>'Manage portfolio-YBL'!C31+'Managed portfolio-MFL'!C30</f>
        <v>2</v>
      </c>
    </row>
    <row r="31" spans="1:5" s="5" customFormat="1" ht="15.75" x14ac:dyDescent="0.25">
      <c r="A31" s="51" t="s">
        <v>54</v>
      </c>
      <c r="B31" s="61" t="s">
        <v>15</v>
      </c>
      <c r="C31" s="24">
        <f t="shared" si="2"/>
        <v>3</v>
      </c>
      <c r="D31" s="99">
        <f>'Own portfolio'!C32</f>
        <v>1</v>
      </c>
      <c r="E31" s="197">
        <f>'Manage portfolio-YBL'!C32+'Managed portfolio-MFL'!C31</f>
        <v>2</v>
      </c>
    </row>
    <row r="32" spans="1:5" s="5" customFormat="1" ht="15.75" x14ac:dyDescent="0.25">
      <c r="A32" s="51" t="s">
        <v>55</v>
      </c>
      <c r="B32" s="61" t="s">
        <v>16</v>
      </c>
      <c r="C32" s="24">
        <f t="shared" si="2"/>
        <v>7</v>
      </c>
      <c r="D32" s="99">
        <f>'Own portfolio'!C33</f>
        <v>5</v>
      </c>
      <c r="E32" s="197">
        <f>'Manage portfolio-YBL'!C33+'Managed portfolio-MFL'!C32</f>
        <v>2</v>
      </c>
    </row>
    <row r="33" spans="1:5" s="5" customFormat="1" ht="15.75" x14ac:dyDescent="0.25">
      <c r="A33" s="51" t="s">
        <v>56</v>
      </c>
      <c r="B33" s="61" t="s">
        <v>18</v>
      </c>
      <c r="C33" s="24">
        <f t="shared" si="2"/>
        <v>0</v>
      </c>
      <c r="D33" s="99">
        <f>'Own portfolio'!C34</f>
        <v>0</v>
      </c>
      <c r="E33" s="197">
        <f>'Manage portfolio-YBL'!C34+'Managed portfolio-MFL'!C33</f>
        <v>0</v>
      </c>
    </row>
    <row r="34" spans="1:5" s="5" customFormat="1" ht="15.75" x14ac:dyDescent="0.25">
      <c r="A34" s="51" t="s">
        <v>57</v>
      </c>
      <c r="B34" s="61" t="s">
        <v>20</v>
      </c>
      <c r="C34" s="24">
        <f t="shared" si="2"/>
        <v>8</v>
      </c>
      <c r="D34" s="99">
        <f>'Own portfolio'!C35</f>
        <v>6</v>
      </c>
      <c r="E34" s="197">
        <f>'Manage portfolio-YBL'!C35+'Managed portfolio-MFL'!C34</f>
        <v>2</v>
      </c>
    </row>
    <row r="35" spans="1:5" s="5" customFormat="1" ht="17.25" thickBot="1" x14ac:dyDescent="0.35">
      <c r="A35" s="51" t="s">
        <v>73</v>
      </c>
      <c r="B35" s="62" t="s">
        <v>3</v>
      </c>
      <c r="C35" s="139">
        <f>SUM(C30:C34)</f>
        <v>26</v>
      </c>
      <c r="D35" s="127">
        <f t="shared" ref="D35:E35" si="3">SUM(D30:D34)</f>
        <v>18</v>
      </c>
      <c r="E35" s="127">
        <f t="shared" si="3"/>
        <v>8</v>
      </c>
    </row>
    <row r="36" spans="1:5" s="5" customFormat="1" ht="17.25" thickBot="1" x14ac:dyDescent="0.3">
      <c r="A36" s="32" t="s">
        <v>45</v>
      </c>
      <c r="B36" s="20" t="s">
        <v>11</v>
      </c>
      <c r="C36" s="136"/>
      <c r="D36" s="98"/>
      <c r="E36" s="98"/>
    </row>
    <row r="37" spans="1:5" s="5" customFormat="1" ht="15.75" x14ac:dyDescent="0.25">
      <c r="A37" s="51" t="s">
        <v>58</v>
      </c>
      <c r="B37" s="61" t="s">
        <v>14</v>
      </c>
      <c r="C37" s="24">
        <f t="shared" ref="C37:C41" si="4">D37+E37</f>
        <v>9701</v>
      </c>
      <c r="D37" s="99">
        <f>'Own portfolio'!C38</f>
        <v>6660</v>
      </c>
      <c r="E37" s="99">
        <f>'Manage portfolio-YBL'!C38</f>
        <v>3041</v>
      </c>
    </row>
    <row r="38" spans="1:5" s="5" customFormat="1" ht="15.75" x14ac:dyDescent="0.25">
      <c r="A38" s="51" t="s">
        <v>59</v>
      </c>
      <c r="B38" s="61" t="s">
        <v>15</v>
      </c>
      <c r="C38" s="24">
        <f t="shared" si="4"/>
        <v>7883</v>
      </c>
      <c r="D38" s="99">
        <f>'Own portfolio'!C39</f>
        <v>1737</v>
      </c>
      <c r="E38" s="99">
        <f>'Manage portfolio-YBL'!C39</f>
        <v>6146</v>
      </c>
    </row>
    <row r="39" spans="1:5" s="5" customFormat="1" ht="15.75" x14ac:dyDescent="0.25">
      <c r="A39" s="51" t="s">
        <v>60</v>
      </c>
      <c r="B39" s="61" t="s">
        <v>16</v>
      </c>
      <c r="C39" s="24">
        <f t="shared" si="4"/>
        <v>13616</v>
      </c>
      <c r="D39" s="99">
        <f>'Own portfolio'!C40</f>
        <v>7193</v>
      </c>
      <c r="E39" s="99">
        <f>'Manage portfolio-YBL'!C40</f>
        <v>6423</v>
      </c>
    </row>
    <row r="40" spans="1:5" s="5" customFormat="1" ht="15.75" x14ac:dyDescent="0.25">
      <c r="A40" s="51" t="s">
        <v>61</v>
      </c>
      <c r="B40" s="61" t="s">
        <v>18</v>
      </c>
      <c r="C40" s="24">
        <f t="shared" si="4"/>
        <v>0</v>
      </c>
      <c r="D40" s="99">
        <f>'Own portfolio'!C41</f>
        <v>0</v>
      </c>
      <c r="E40" s="99">
        <f>'Manage portfolio-YBL'!C41</f>
        <v>0</v>
      </c>
    </row>
    <row r="41" spans="1:5" s="5" customFormat="1" ht="16.5" thickBot="1" x14ac:dyDescent="0.3">
      <c r="A41" s="51" t="s">
        <v>62</v>
      </c>
      <c r="B41" s="63" t="s">
        <v>20</v>
      </c>
      <c r="C41" s="24">
        <f t="shared" si="4"/>
        <v>63784</v>
      </c>
      <c r="D41" s="99">
        <f>'Own portfolio'!C42</f>
        <v>41275</v>
      </c>
      <c r="E41" s="99">
        <f>'Manage portfolio-YBL'!C42</f>
        <v>22509</v>
      </c>
    </row>
    <row r="42" spans="1:5" s="5" customFormat="1" ht="17.25" thickBot="1" x14ac:dyDescent="0.35">
      <c r="A42" s="51" t="s">
        <v>74</v>
      </c>
      <c r="B42" s="70" t="s">
        <v>3</v>
      </c>
      <c r="C42" s="139">
        <f>SUM(C37:C41)</f>
        <v>94984</v>
      </c>
      <c r="D42" s="127">
        <f t="shared" ref="D42:E42" si="5">SUM(D37:D41)</f>
        <v>56865</v>
      </c>
      <c r="E42" s="127">
        <f t="shared" si="5"/>
        <v>38119</v>
      </c>
    </row>
    <row r="43" spans="1:5" s="5" customFormat="1" ht="17.25" thickBot="1" x14ac:dyDescent="0.3">
      <c r="A43" s="32" t="s">
        <v>46</v>
      </c>
      <c r="B43" s="20" t="s">
        <v>32</v>
      </c>
      <c r="C43" s="136"/>
      <c r="D43" s="98"/>
      <c r="E43" s="98"/>
    </row>
    <row r="44" spans="1:5" s="5" customFormat="1" ht="15.75" x14ac:dyDescent="0.25">
      <c r="A44" s="51" t="s">
        <v>63</v>
      </c>
      <c r="B44" s="61" t="s">
        <v>14</v>
      </c>
      <c r="C44" s="24">
        <f t="shared" ref="C44:C48" si="6">D44+E44</f>
        <v>58167</v>
      </c>
      <c r="D44" s="99">
        <f>'Own portfolio'!C45</f>
        <v>32550</v>
      </c>
      <c r="E44" s="197">
        <f>'Manage portfolio-YBL'!C45+'Managed portfolio-MFL'!C44</f>
        <v>25617</v>
      </c>
    </row>
    <row r="45" spans="1:5" s="5" customFormat="1" ht="15.75" x14ac:dyDescent="0.25">
      <c r="A45" s="51" t="s">
        <v>64</v>
      </c>
      <c r="B45" s="61" t="s">
        <v>15</v>
      </c>
      <c r="C45" s="24">
        <f t="shared" si="6"/>
        <v>16977</v>
      </c>
      <c r="D45" s="99">
        <f>'Own portfolio'!C46</f>
        <v>7347</v>
      </c>
      <c r="E45" s="197">
        <f>'Manage portfolio-YBL'!C46+'Managed portfolio-MFL'!C45</f>
        <v>9630</v>
      </c>
    </row>
    <row r="46" spans="1:5" s="5" customFormat="1" ht="15.75" x14ac:dyDescent="0.25">
      <c r="A46" s="51" t="s">
        <v>65</v>
      </c>
      <c r="B46" s="61" t="s">
        <v>16</v>
      </c>
      <c r="C46" s="24">
        <f t="shared" si="6"/>
        <v>17100</v>
      </c>
      <c r="D46" s="99">
        <f>'Own portfolio'!C47</f>
        <v>7193</v>
      </c>
      <c r="E46" s="197">
        <f>'Manage portfolio-YBL'!C47+'Managed portfolio-MFL'!C46</f>
        <v>9907</v>
      </c>
    </row>
    <row r="47" spans="1:5" s="5" customFormat="1" ht="15.75" x14ac:dyDescent="0.25">
      <c r="A47" s="51" t="s">
        <v>66</v>
      </c>
      <c r="B47" s="61" t="s">
        <v>18</v>
      </c>
      <c r="C47" s="24">
        <f t="shared" si="6"/>
        <v>0</v>
      </c>
      <c r="D47" s="99">
        <f>'Own portfolio'!C48</f>
        <v>0</v>
      </c>
      <c r="E47" s="197">
        <f>'Manage portfolio-YBL'!C48+'Managed portfolio-MFL'!C47</f>
        <v>0</v>
      </c>
    </row>
    <row r="48" spans="1:5" s="5" customFormat="1" ht="15.75" x14ac:dyDescent="0.25">
      <c r="A48" s="51" t="s">
        <v>67</v>
      </c>
      <c r="B48" s="61" t="s">
        <v>20</v>
      </c>
      <c r="C48" s="24">
        <f t="shared" si="6"/>
        <v>63784</v>
      </c>
      <c r="D48" s="99">
        <f>'Own portfolio'!C49</f>
        <v>41275</v>
      </c>
      <c r="E48" s="197">
        <f>'Manage portfolio-YBL'!C49+'Managed portfolio-MFL'!C48</f>
        <v>22509</v>
      </c>
    </row>
    <row r="49" spans="1:5" s="5" customFormat="1" ht="17.25" thickBot="1" x14ac:dyDescent="0.35">
      <c r="A49" s="51" t="s">
        <v>75</v>
      </c>
      <c r="B49" s="62" t="s">
        <v>3</v>
      </c>
      <c r="C49" s="139">
        <f>SUM(C44:C48)</f>
        <v>156028</v>
      </c>
      <c r="D49" s="127">
        <f t="shared" ref="D49:E49" si="7">SUM(D44:D48)</f>
        <v>88365</v>
      </c>
      <c r="E49" s="127">
        <f t="shared" si="7"/>
        <v>67663</v>
      </c>
    </row>
    <row r="50" spans="1:5" s="5" customFormat="1" ht="17.25" thickBot="1" x14ac:dyDescent="0.3">
      <c r="A50" s="32" t="s">
        <v>47</v>
      </c>
      <c r="B50" s="20" t="s">
        <v>33</v>
      </c>
      <c r="C50" s="136"/>
      <c r="D50" s="98"/>
      <c r="E50" s="98"/>
    </row>
    <row r="51" spans="1:5" s="5" customFormat="1" ht="15.75" x14ac:dyDescent="0.25">
      <c r="A51" s="51" t="s">
        <v>68</v>
      </c>
      <c r="B51" s="61" t="s">
        <v>14</v>
      </c>
      <c r="C51" s="133">
        <f t="shared" ref="C51:E55" si="8">C44/C$14%</f>
        <v>2.7905965373977645E-2</v>
      </c>
      <c r="D51" s="133">
        <f t="shared" si="8"/>
        <v>1.9352808664203091E-2</v>
      </c>
      <c r="E51" s="133">
        <f t="shared" si="8"/>
        <v>6.3649997516564291E-2</v>
      </c>
    </row>
    <row r="52" spans="1:5" s="5" customFormat="1" ht="15.75" x14ac:dyDescent="0.25">
      <c r="A52" s="51" t="s">
        <v>69</v>
      </c>
      <c r="B52" s="61" t="s">
        <v>15</v>
      </c>
      <c r="C52" s="133">
        <f t="shared" si="8"/>
        <v>8.1448170638681455E-3</v>
      </c>
      <c r="D52" s="133">
        <f t="shared" si="8"/>
        <v>4.3682053842058408E-3</v>
      </c>
      <c r="E52" s="133">
        <f t="shared" si="8"/>
        <v>2.3927449587559595E-2</v>
      </c>
    </row>
    <row r="53" spans="1:5" s="5" customFormat="1" ht="15.75" x14ac:dyDescent="0.25">
      <c r="A53" s="51" t="s">
        <v>70</v>
      </c>
      <c r="B53" s="61" t="s">
        <v>16</v>
      </c>
      <c r="C53" s="133">
        <f t="shared" si="8"/>
        <v>8.2038270478968778E-3</v>
      </c>
      <c r="D53" s="133">
        <f t="shared" si="8"/>
        <v>4.2766437088053097E-3</v>
      </c>
      <c r="E53" s="133">
        <f t="shared" si="8"/>
        <v>2.4615705406433323E-2</v>
      </c>
    </row>
    <row r="54" spans="1:5" s="5" customFormat="1" ht="15.75" x14ac:dyDescent="0.25">
      <c r="A54" s="51" t="s">
        <v>71</v>
      </c>
      <c r="B54" s="61" t="s">
        <v>18</v>
      </c>
      <c r="C54" s="133">
        <f t="shared" si="8"/>
        <v>0</v>
      </c>
      <c r="D54" s="133">
        <f t="shared" si="8"/>
        <v>0</v>
      </c>
      <c r="E54" s="133">
        <f t="shared" si="8"/>
        <v>0</v>
      </c>
    </row>
    <row r="55" spans="1:5" s="5" customFormat="1" ht="16.5" thickBot="1" x14ac:dyDescent="0.3">
      <c r="A55" s="51" t="s">
        <v>72</v>
      </c>
      <c r="B55" s="63" t="s">
        <v>20</v>
      </c>
      <c r="C55" s="133">
        <f t="shared" si="8"/>
        <v>3.0600754644623068E-2</v>
      </c>
      <c r="D55" s="133">
        <f t="shared" si="8"/>
        <v>2.4540312676343552E-2</v>
      </c>
      <c r="E55" s="133">
        <f t="shared" si="8"/>
        <v>5.5927618148118266E-2</v>
      </c>
    </row>
    <row r="56" spans="1:5" s="5" customFormat="1" ht="17.25" thickBot="1" x14ac:dyDescent="0.3">
      <c r="A56" s="26">
        <v>6</v>
      </c>
      <c r="B56" s="20" t="s">
        <v>43</v>
      </c>
      <c r="C56" s="136"/>
      <c r="D56" s="98"/>
      <c r="E56" s="98"/>
    </row>
    <row r="57" spans="1:5" s="5" customFormat="1" ht="15.75" x14ac:dyDescent="0.25">
      <c r="A57" s="50" t="s">
        <v>76</v>
      </c>
      <c r="B57" s="60" t="s">
        <v>35</v>
      </c>
      <c r="C57" s="24">
        <f t="shared" ref="C57:C58" si="9">D57+E57</f>
        <v>20820</v>
      </c>
      <c r="D57" s="99">
        <f>'Own portfolio'!C58</f>
        <v>16576</v>
      </c>
      <c r="E57" s="197">
        <f>'Manage portfolio-YBL'!C58+'Managed portfolio-MFL'!C56</f>
        <v>4244</v>
      </c>
    </row>
    <row r="58" spans="1:5" s="5" customFormat="1" ht="16.5" thickBot="1" x14ac:dyDescent="0.3">
      <c r="A58" s="50" t="s">
        <v>77</v>
      </c>
      <c r="B58" s="63" t="s">
        <v>21</v>
      </c>
      <c r="C58" s="24">
        <f t="shared" si="9"/>
        <v>314608000</v>
      </c>
      <c r="D58" s="99">
        <f>'Own portfolio'!C59</f>
        <v>244353000</v>
      </c>
      <c r="E58" s="248">
        <f>'Manage portfolio-YBL'!C59+'Managed portfolio-MFL'!C57</f>
        <v>70255000</v>
      </c>
    </row>
    <row r="59" spans="1:5" s="5" customFormat="1" ht="17.25" thickBot="1" x14ac:dyDescent="0.3">
      <c r="A59" s="26">
        <v>7</v>
      </c>
      <c r="B59" s="20" t="s">
        <v>48</v>
      </c>
      <c r="C59" s="136"/>
      <c r="D59" s="98"/>
      <c r="E59" s="98"/>
    </row>
    <row r="60" spans="1:5" s="5" customFormat="1" ht="15.75" x14ac:dyDescent="0.25">
      <c r="A60" s="51">
        <v>8.1</v>
      </c>
      <c r="B60" s="60" t="s">
        <v>51</v>
      </c>
      <c r="C60" s="130">
        <f t="shared" ref="C60:C63" si="10">D60+E60</f>
        <v>58217840.706832185</v>
      </c>
      <c r="D60" s="131">
        <f>'Own portfolio'!C61</f>
        <v>47468055.956965059</v>
      </c>
      <c r="E60" s="248">
        <f>'Manage portfolio-YBL'!C61+'Managed portfolio-MFL'!C59</f>
        <v>10749784.749867126</v>
      </c>
    </row>
    <row r="61" spans="1:5" s="5" customFormat="1" ht="15.75" x14ac:dyDescent="0.25">
      <c r="A61" s="51">
        <v>8.1999999999999993</v>
      </c>
      <c r="B61" s="61" t="s">
        <v>52</v>
      </c>
      <c r="C61" s="130">
        <f t="shared" si="10"/>
        <v>150221463.29316783</v>
      </c>
      <c r="D61" s="131">
        <f>'Own portfolio'!C62</f>
        <v>120724585.04303494</v>
      </c>
      <c r="E61" s="248">
        <f>'Manage portfolio-YBL'!C62+'Managed portfolio-MFL'!C60</f>
        <v>29496878.250132874</v>
      </c>
    </row>
    <row r="62" spans="1:5" s="5" customFormat="1" ht="15.75" x14ac:dyDescent="0.25">
      <c r="A62" s="51">
        <v>8.3000000000000007</v>
      </c>
      <c r="B62" s="64" t="s">
        <v>49</v>
      </c>
      <c r="C62" s="130">
        <f t="shared" si="10"/>
        <v>8777</v>
      </c>
      <c r="D62" s="131">
        <f>'Own portfolio'!C63</f>
        <v>6895</v>
      </c>
      <c r="E62" s="197">
        <f>'Manage portfolio-YBL'!C63+'Managed portfolio-MFL'!C61</f>
        <v>1882</v>
      </c>
    </row>
    <row r="63" spans="1:5" s="5" customFormat="1" ht="16.5" thickBot="1" x14ac:dyDescent="0.3">
      <c r="A63" s="51">
        <v>8.4</v>
      </c>
      <c r="B63" s="71" t="s">
        <v>50</v>
      </c>
      <c r="C63" s="130">
        <f t="shared" si="10"/>
        <v>12930</v>
      </c>
      <c r="D63" s="131">
        <f>'Own portfolio'!C64</f>
        <v>9596</v>
      </c>
      <c r="E63" s="197">
        <f>'Manage portfolio-YBL'!C64+'Managed portfolio-MFL'!C62</f>
        <v>3334</v>
      </c>
    </row>
    <row r="64" spans="1:5" s="5" customFormat="1" ht="16.5" x14ac:dyDescent="0.3">
      <c r="A64" s="94">
        <v>8</v>
      </c>
      <c r="B64" s="116" t="s">
        <v>27</v>
      </c>
      <c r="C64" s="140" t="s">
        <v>106</v>
      </c>
      <c r="D64" s="141"/>
      <c r="E64" s="142"/>
    </row>
    <row r="65" spans="1:5" ht="15.75" x14ac:dyDescent="0.25">
      <c r="A65" s="77">
        <v>8.1</v>
      </c>
      <c r="B65" s="64" t="s">
        <v>139</v>
      </c>
      <c r="C65" s="248">
        <v>20000000</v>
      </c>
      <c r="D65" s="143"/>
      <c r="E65" s="143"/>
    </row>
    <row r="66" spans="1:5" ht="15.75" x14ac:dyDescent="0.25">
      <c r="A66" s="77">
        <v>8.1999999999999993</v>
      </c>
      <c r="B66" s="64" t="s">
        <v>132</v>
      </c>
      <c r="C66" s="248">
        <v>30000000</v>
      </c>
      <c r="D66" s="143"/>
      <c r="E66" s="143"/>
    </row>
    <row r="67" spans="1:5" ht="15.75" x14ac:dyDescent="0.25">
      <c r="A67" s="77">
        <v>8.3000000000000007</v>
      </c>
      <c r="B67" s="64" t="s">
        <v>138</v>
      </c>
      <c r="C67" s="248">
        <v>18666666</v>
      </c>
      <c r="D67" s="143"/>
      <c r="E67" s="143"/>
    </row>
    <row r="68" spans="1:5" ht="15.75" x14ac:dyDescent="0.25">
      <c r="A68" s="77">
        <v>8.4</v>
      </c>
      <c r="B68" s="64" t="s">
        <v>99</v>
      </c>
      <c r="C68" s="248">
        <v>5625000</v>
      </c>
      <c r="D68" s="143"/>
      <c r="E68" s="143"/>
    </row>
    <row r="69" spans="1:5" ht="15.75" x14ac:dyDescent="0.25">
      <c r="A69" s="77">
        <v>8.5</v>
      </c>
      <c r="B69" s="64" t="s">
        <v>136</v>
      </c>
      <c r="C69" s="248">
        <v>32540278</v>
      </c>
      <c r="D69" s="143"/>
      <c r="E69" s="143"/>
    </row>
    <row r="70" spans="1:5" ht="15.75" x14ac:dyDescent="0.25">
      <c r="A70" s="77">
        <v>8.6</v>
      </c>
      <c r="B70" s="64" t="s">
        <v>135</v>
      </c>
      <c r="C70" s="248">
        <v>17083332</v>
      </c>
      <c r="D70" s="143"/>
      <c r="E70" s="143"/>
    </row>
    <row r="71" spans="1:5" ht="15.75" x14ac:dyDescent="0.25">
      <c r="A71" s="77">
        <v>8.6999999999999993</v>
      </c>
      <c r="B71" s="64" t="s">
        <v>148</v>
      </c>
      <c r="C71" s="248">
        <v>16030518</v>
      </c>
      <c r="D71" s="143"/>
      <c r="E71" s="143"/>
    </row>
    <row r="72" spans="1:5" ht="15.75" x14ac:dyDescent="0.25">
      <c r="A72" s="77">
        <v>8.8000000000000007</v>
      </c>
      <c r="B72" s="64" t="s">
        <v>97</v>
      </c>
      <c r="C72" s="248">
        <v>1477642</v>
      </c>
      <c r="D72" s="143"/>
      <c r="E72" s="143"/>
    </row>
    <row r="73" spans="1:5" ht="15.75" x14ac:dyDescent="0.25">
      <c r="A73" s="77">
        <v>8.9</v>
      </c>
      <c r="B73" s="64" t="s">
        <v>137</v>
      </c>
      <c r="C73" s="248">
        <v>3250000</v>
      </c>
      <c r="D73" s="143"/>
      <c r="E73" s="143"/>
    </row>
    <row r="74" spans="1:5" ht="15.75" x14ac:dyDescent="0.25">
      <c r="A74" s="77">
        <v>9</v>
      </c>
      <c r="B74" s="64" t="s">
        <v>115</v>
      </c>
      <c r="C74" s="248">
        <v>1123534</v>
      </c>
      <c r="D74" s="143"/>
      <c r="E74" s="143"/>
    </row>
    <row r="75" spans="1:5" ht="16.5" x14ac:dyDescent="0.3">
      <c r="B75" s="287" t="s">
        <v>3</v>
      </c>
      <c r="C75" s="288">
        <f>SUM(C65:C74)</f>
        <v>145796970</v>
      </c>
      <c r="D75" s="291"/>
      <c r="E75" s="287"/>
    </row>
  </sheetData>
  <mergeCells count="1">
    <mergeCell ref="A1:E1"/>
  </mergeCells>
  <phoneticPr fontId="0" type="noConversion"/>
  <printOptions horizontalCentered="1" verticalCentered="1"/>
  <pageMargins left="0" right="0" top="0" bottom="0" header="0.511811023622047" footer="0"/>
  <pageSetup paperSize="9" scale="6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view="pageBreakPreview" zoomScale="80" zoomScaleNormal="80" zoomScaleSheetLayoutView="80" zoomScalePageLayoutView="8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:F1"/>
    </sheetView>
  </sheetViews>
  <sheetFormatPr defaultColWidth="9.140625" defaultRowHeight="13.5" x14ac:dyDescent="0.25"/>
  <cols>
    <col min="1" max="1" width="10.5703125" style="11" bestFit="1" customWidth="1"/>
    <col min="2" max="2" width="55.140625" style="4" bestFit="1" customWidth="1"/>
    <col min="3" max="3" width="14.28515625" style="4" bestFit="1" customWidth="1"/>
    <col min="4" max="5" width="12.85546875" style="4" bestFit="1" customWidth="1"/>
    <col min="6" max="8" width="11" style="4" customWidth="1"/>
    <col min="9" max="9" width="15.85546875" style="4" bestFit="1" customWidth="1"/>
    <col min="10" max="10" width="11" style="4" customWidth="1"/>
    <col min="11" max="12" width="12.85546875" style="4" bestFit="1" customWidth="1"/>
    <col min="13" max="13" width="15" style="4" bestFit="1" customWidth="1"/>
    <col min="14" max="14" width="11" style="4" customWidth="1"/>
    <col min="15" max="15" width="13.5703125" style="4" customWidth="1"/>
    <col min="16" max="16" width="15.28515625" style="4" bestFit="1" customWidth="1"/>
    <col min="17" max="17" width="10.140625" style="4" bestFit="1" customWidth="1"/>
    <col min="18" max="18" width="9.85546875" style="4" bestFit="1" customWidth="1"/>
    <col min="19" max="19" width="11" style="4" bestFit="1" customWidth="1"/>
    <col min="20" max="20" width="14.85546875" style="4" bestFit="1" customWidth="1"/>
    <col min="21" max="21" width="13.140625" style="4" bestFit="1" customWidth="1"/>
    <col min="22" max="22" width="11" style="4" bestFit="1" customWidth="1"/>
    <col min="23" max="23" width="12" style="4" bestFit="1" customWidth="1"/>
    <col min="24" max="24" width="16.28515625" style="4" bestFit="1" customWidth="1"/>
    <col min="25" max="16384" width="9.140625" style="4"/>
  </cols>
  <sheetData>
    <row r="1" spans="1:36" ht="18.75" x14ac:dyDescent="0.25">
      <c r="A1" s="227"/>
      <c r="B1" s="313" t="s">
        <v>129</v>
      </c>
      <c r="C1" s="313"/>
      <c r="D1" s="313"/>
      <c r="E1" s="313"/>
      <c r="F1" s="313"/>
      <c r="G1" s="227"/>
      <c r="H1" s="227"/>
      <c r="I1" s="227"/>
      <c r="J1" s="227"/>
      <c r="K1" s="227"/>
      <c r="L1" s="227"/>
      <c r="M1" s="120"/>
      <c r="P1" s="120"/>
      <c r="Q1" s="285"/>
      <c r="R1" s="262"/>
      <c r="S1" s="262"/>
      <c r="W1" s="226"/>
    </row>
    <row r="2" spans="1:36" ht="19.5" thickBot="1" x14ac:dyDescent="0.3">
      <c r="A2" s="39"/>
      <c r="B2" s="43" t="s">
        <v>92</v>
      </c>
      <c r="C2" s="38">
        <f>Prayas!C2</f>
        <v>42440</v>
      </c>
      <c r="D2" s="243"/>
      <c r="E2" s="245"/>
      <c r="F2" s="245"/>
      <c r="G2" s="243"/>
      <c r="H2" s="243"/>
      <c r="I2" s="243"/>
      <c r="J2" s="243"/>
      <c r="K2" s="243"/>
      <c r="L2" s="312"/>
      <c r="M2" s="242"/>
      <c r="N2" s="242"/>
      <c r="O2" s="242"/>
      <c r="P2" s="242"/>
      <c r="Q2" s="285"/>
      <c r="R2" s="262"/>
      <c r="S2" s="262"/>
      <c r="T2" s="246"/>
      <c r="U2" s="246"/>
      <c r="V2" s="246"/>
      <c r="W2" s="242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</row>
    <row r="3" spans="1:36" s="5" customFormat="1" ht="17.25" thickBot="1" x14ac:dyDescent="0.35">
      <c r="A3" s="45" t="s">
        <v>0</v>
      </c>
      <c r="B3" s="52" t="s">
        <v>80</v>
      </c>
      <c r="C3" s="308" t="s">
        <v>145</v>
      </c>
      <c r="D3" s="319" t="s">
        <v>78</v>
      </c>
      <c r="E3" s="320"/>
      <c r="F3" s="321"/>
      <c r="G3" s="325" t="s">
        <v>81</v>
      </c>
      <c r="H3" s="326"/>
      <c r="I3" s="326"/>
      <c r="J3" s="327"/>
      <c r="K3" s="322" t="s">
        <v>86</v>
      </c>
      <c r="L3" s="323"/>
      <c r="M3" s="323"/>
      <c r="N3" s="324"/>
      <c r="O3" s="294" t="s">
        <v>118</v>
      </c>
      <c r="P3" s="296" t="s">
        <v>109</v>
      </c>
      <c r="Q3" s="316" t="s">
        <v>89</v>
      </c>
      <c r="R3" s="317"/>
      <c r="S3" s="318"/>
      <c r="T3" s="301" t="s">
        <v>88</v>
      </c>
      <c r="U3" s="314" t="s">
        <v>98</v>
      </c>
      <c r="V3" s="315"/>
      <c r="W3" s="304" t="s">
        <v>119</v>
      </c>
      <c r="X3" s="305" t="s">
        <v>121</v>
      </c>
    </row>
    <row r="4" spans="1:36" s="5" customFormat="1" ht="17.25" thickBot="1" x14ac:dyDescent="0.3">
      <c r="A4" s="46"/>
      <c r="B4" s="23" t="s">
        <v>79</v>
      </c>
      <c r="C4" s="309" t="s">
        <v>150</v>
      </c>
      <c r="D4" s="122" t="s">
        <v>78</v>
      </c>
      <c r="E4" s="122" t="s">
        <v>116</v>
      </c>
      <c r="F4" s="122" t="s">
        <v>127</v>
      </c>
      <c r="G4" s="307" t="s">
        <v>82</v>
      </c>
      <c r="H4" s="307" t="s">
        <v>83</v>
      </c>
      <c r="I4" s="307" t="s">
        <v>84</v>
      </c>
      <c r="J4" s="307" t="s">
        <v>85</v>
      </c>
      <c r="K4" s="293" t="s">
        <v>149</v>
      </c>
      <c r="L4" s="293" t="s">
        <v>147</v>
      </c>
      <c r="M4" s="293" t="s">
        <v>87</v>
      </c>
      <c r="N4" s="293" t="s">
        <v>128</v>
      </c>
      <c r="O4" s="295" t="s">
        <v>118</v>
      </c>
      <c r="P4" s="297" t="s">
        <v>108</v>
      </c>
      <c r="Q4" s="298" t="s">
        <v>112</v>
      </c>
      <c r="R4" s="299" t="s">
        <v>113</v>
      </c>
      <c r="S4" s="300" t="s">
        <v>114</v>
      </c>
      <c r="T4" s="302" t="s">
        <v>96</v>
      </c>
      <c r="U4" s="303" t="s">
        <v>117</v>
      </c>
      <c r="V4" s="303" t="s">
        <v>146</v>
      </c>
      <c r="W4" s="292" t="s">
        <v>120</v>
      </c>
      <c r="X4" s="306" t="s">
        <v>122</v>
      </c>
    </row>
    <row r="5" spans="1:36" s="5" customFormat="1" ht="17.25" thickBot="1" x14ac:dyDescent="0.3">
      <c r="A5" s="26">
        <v>1</v>
      </c>
      <c r="B5" s="53" t="s">
        <v>1</v>
      </c>
      <c r="C5" s="152"/>
      <c r="D5" s="83"/>
      <c r="E5" s="30"/>
      <c r="F5" s="29"/>
      <c r="G5" s="83"/>
      <c r="H5" s="29"/>
      <c r="I5" s="29"/>
      <c r="J5" s="30"/>
      <c r="K5" s="83"/>
      <c r="L5" s="29"/>
      <c r="M5" s="29"/>
      <c r="N5" s="30"/>
      <c r="O5" s="29"/>
      <c r="P5" s="98"/>
      <c r="Q5" s="29"/>
      <c r="R5" s="29"/>
      <c r="S5" s="29"/>
      <c r="T5" s="29"/>
      <c r="U5" s="98"/>
      <c r="V5" s="98"/>
      <c r="W5" s="98"/>
      <c r="X5" s="29"/>
    </row>
    <row r="6" spans="1:36" s="5" customFormat="1" ht="16.5" x14ac:dyDescent="0.25">
      <c r="A6" s="47">
        <v>1.1000000000000001</v>
      </c>
      <c r="B6" s="54" t="s">
        <v>2</v>
      </c>
      <c r="C6" s="179">
        <f>SUM(D6:X6)</f>
        <v>16491</v>
      </c>
      <c r="D6" s="96">
        <f>SUM(D7:D10)</f>
        <v>3129</v>
      </c>
      <c r="E6" s="10">
        <f>SUM(E7:E10)</f>
        <v>1297</v>
      </c>
      <c r="F6" s="10">
        <f>SUM(F7:F10)</f>
        <v>712</v>
      </c>
      <c r="G6" s="82">
        <f t="shared" ref="G6:U6" si="0">SUM(G7:G10)</f>
        <v>645</v>
      </c>
      <c r="H6" s="10">
        <f t="shared" si="0"/>
        <v>469</v>
      </c>
      <c r="I6" s="10">
        <f>SUM(I7:I10)</f>
        <v>755</v>
      </c>
      <c r="J6" s="81">
        <f>SUM(J7:J10)</f>
        <v>739</v>
      </c>
      <c r="K6" s="12">
        <f t="shared" si="0"/>
        <v>1344</v>
      </c>
      <c r="L6" s="12">
        <f t="shared" ref="L6" si="1">SUM(L7:L10)</f>
        <v>749</v>
      </c>
      <c r="M6" s="107">
        <f t="shared" si="0"/>
        <v>632</v>
      </c>
      <c r="N6" s="89">
        <f>SUM(N7:N10)</f>
        <v>599</v>
      </c>
      <c r="O6" s="89">
        <f>SUM(O7:O10)</f>
        <v>644</v>
      </c>
      <c r="P6" s="97">
        <f t="shared" si="0"/>
        <v>674</v>
      </c>
      <c r="Q6" s="12">
        <f t="shared" si="0"/>
        <v>38</v>
      </c>
      <c r="R6" s="12">
        <f t="shared" ref="R6:S6" si="2">SUM(R7:R10)</f>
        <v>53</v>
      </c>
      <c r="S6" s="12">
        <f t="shared" si="2"/>
        <v>146</v>
      </c>
      <c r="T6" s="12">
        <f t="shared" si="0"/>
        <v>1219</v>
      </c>
      <c r="U6" s="10">
        <f t="shared" si="0"/>
        <v>946</v>
      </c>
      <c r="V6" s="10">
        <f t="shared" ref="V6" si="3">SUM(V7:V10)</f>
        <v>576</v>
      </c>
      <c r="W6" s="10">
        <f>SUM(W7:W10)</f>
        <v>513</v>
      </c>
      <c r="X6" s="89">
        <f>SUM(X7:X10)</f>
        <v>612</v>
      </c>
    </row>
    <row r="7" spans="1:36" s="5" customFormat="1" ht="15.75" x14ac:dyDescent="0.25">
      <c r="A7" s="48">
        <v>1.2</v>
      </c>
      <c r="B7" s="24" t="s">
        <v>4</v>
      </c>
      <c r="C7" s="148">
        <f>SUM(D7:X7)</f>
        <v>8417</v>
      </c>
      <c r="D7" s="96">
        <f>1147-31</f>
        <v>1116</v>
      </c>
      <c r="E7" s="10">
        <v>343</v>
      </c>
      <c r="F7" s="10">
        <f>1226-514</f>
        <v>712</v>
      </c>
      <c r="G7" s="82">
        <f>269-60</f>
        <v>209</v>
      </c>
      <c r="H7" s="10">
        <f>343-135</f>
        <v>208</v>
      </c>
      <c r="I7" s="10">
        <f>508-21-195</f>
        <v>292</v>
      </c>
      <c r="J7" s="81">
        <v>257</v>
      </c>
      <c r="K7" s="12">
        <f>705-22-273</f>
        <v>410</v>
      </c>
      <c r="L7" s="12">
        <f>273-28</f>
        <v>245</v>
      </c>
      <c r="M7" s="107">
        <f>522-67-217</f>
        <v>238</v>
      </c>
      <c r="N7" s="89">
        <v>275</v>
      </c>
      <c r="O7" s="89">
        <f>839-197</f>
        <v>642</v>
      </c>
      <c r="P7" s="97">
        <f>627-197</f>
        <v>430</v>
      </c>
      <c r="Q7" s="12">
        <f>647-633-7</f>
        <v>7</v>
      </c>
      <c r="R7" s="12">
        <f>608-531-24</f>
        <v>53</v>
      </c>
      <c r="S7" s="12">
        <f>863-675-42</f>
        <v>146</v>
      </c>
      <c r="T7" s="12">
        <v>905</v>
      </c>
      <c r="U7" s="10">
        <f>745-203</f>
        <v>542</v>
      </c>
      <c r="V7" s="10">
        <f>59+203</f>
        <v>262</v>
      </c>
      <c r="W7" s="10">
        <v>513</v>
      </c>
      <c r="X7" s="89">
        <v>612</v>
      </c>
    </row>
    <row r="8" spans="1:36" s="5" customFormat="1" ht="15.75" x14ac:dyDescent="0.25">
      <c r="A8" s="48">
        <v>1.3</v>
      </c>
      <c r="B8" s="24" t="s">
        <v>5</v>
      </c>
      <c r="C8" s="148">
        <f>SUM(D8:X8)</f>
        <v>2716</v>
      </c>
      <c r="D8" s="96">
        <f>458-23</f>
        <v>435</v>
      </c>
      <c r="E8" s="10">
        <v>174</v>
      </c>
      <c r="F8" s="10">
        <v>0</v>
      </c>
      <c r="G8" s="82">
        <f>174-42</f>
        <v>132</v>
      </c>
      <c r="H8" s="10">
        <f>139-52</f>
        <v>87</v>
      </c>
      <c r="I8" s="10">
        <f>301-29-115</f>
        <v>157</v>
      </c>
      <c r="J8" s="81">
        <v>148</v>
      </c>
      <c r="K8" s="12">
        <f>397-19-151</f>
        <v>227</v>
      </c>
      <c r="L8" s="12">
        <f>151-10</f>
        <v>141</v>
      </c>
      <c r="M8" s="107">
        <f>189-19-49</f>
        <v>121</v>
      </c>
      <c r="N8" s="89">
        <v>263</v>
      </c>
      <c r="O8" s="89">
        <v>0</v>
      </c>
      <c r="P8" s="97">
        <f>209-40</f>
        <v>169</v>
      </c>
      <c r="Q8" s="12">
        <f>38-7</f>
        <v>31</v>
      </c>
      <c r="R8" s="12">
        <v>0</v>
      </c>
      <c r="S8" s="12">
        <v>0</v>
      </c>
      <c r="T8" s="12">
        <v>193</v>
      </c>
      <c r="U8" s="10">
        <f>392-108</f>
        <v>284</v>
      </c>
      <c r="V8" s="10">
        <f>46+108</f>
        <v>154</v>
      </c>
      <c r="W8" s="10">
        <v>0</v>
      </c>
      <c r="X8" s="89">
        <v>0</v>
      </c>
    </row>
    <row r="9" spans="1:36" s="5" customFormat="1" ht="15.75" x14ac:dyDescent="0.25">
      <c r="A9" s="48">
        <v>1.4</v>
      </c>
      <c r="B9" s="24" t="s">
        <v>6</v>
      </c>
      <c r="C9" s="148">
        <f>SUM(D9:X9)</f>
        <v>1961</v>
      </c>
      <c r="D9" s="96">
        <f>650-19</f>
        <v>631</v>
      </c>
      <c r="E9" s="10">
        <v>227</v>
      </c>
      <c r="F9" s="10">
        <v>0</v>
      </c>
      <c r="G9" s="82">
        <f>61-18</f>
        <v>43</v>
      </c>
      <c r="H9" s="10">
        <f>63-6</f>
        <v>57</v>
      </c>
      <c r="I9" s="10">
        <f>176-14-59</f>
        <v>103</v>
      </c>
      <c r="J9" s="81">
        <v>116</v>
      </c>
      <c r="K9" s="12">
        <f>317-14-108</f>
        <v>195</v>
      </c>
      <c r="L9" s="12">
        <f>108+2-5</f>
        <v>105</v>
      </c>
      <c r="M9" s="107">
        <f>158-35-36</f>
        <v>87</v>
      </c>
      <c r="N9" s="89">
        <v>61</v>
      </c>
      <c r="O9" s="89">
        <v>2</v>
      </c>
      <c r="P9" s="97">
        <f>71-12</f>
        <v>59</v>
      </c>
      <c r="Q9" s="12">
        <v>0</v>
      </c>
      <c r="R9" s="12">
        <v>0</v>
      </c>
      <c r="S9" s="12">
        <v>0</v>
      </c>
      <c r="T9" s="12">
        <v>51</v>
      </c>
      <c r="U9" s="10">
        <f>199-135</f>
        <v>64</v>
      </c>
      <c r="V9" s="10">
        <f>25+135</f>
        <v>160</v>
      </c>
      <c r="W9" s="10">
        <v>0</v>
      </c>
      <c r="X9" s="89">
        <v>0</v>
      </c>
    </row>
    <row r="10" spans="1:36" s="5" customFormat="1" ht="16.5" thickBot="1" x14ac:dyDescent="0.3">
      <c r="A10" s="48">
        <v>1.5</v>
      </c>
      <c r="B10" s="24" t="s">
        <v>7</v>
      </c>
      <c r="C10" s="148">
        <f>SUM(D10:X10)</f>
        <v>3397</v>
      </c>
      <c r="D10" s="96">
        <f>979-32</f>
        <v>947</v>
      </c>
      <c r="E10" s="10">
        <v>553</v>
      </c>
      <c r="F10" s="10">
        <v>0</v>
      </c>
      <c r="G10" s="82">
        <f>355-94</f>
        <v>261</v>
      </c>
      <c r="H10" s="10">
        <f>165-48</f>
        <v>117</v>
      </c>
      <c r="I10" s="10">
        <f>318-37-78</f>
        <v>203</v>
      </c>
      <c r="J10" s="81">
        <v>218</v>
      </c>
      <c r="K10" s="12">
        <f>816-17-287</f>
        <v>512</v>
      </c>
      <c r="L10" s="12">
        <f>287-29</f>
        <v>258</v>
      </c>
      <c r="M10" s="107">
        <f>289-50-53</f>
        <v>186</v>
      </c>
      <c r="N10" s="89">
        <v>0</v>
      </c>
      <c r="O10" s="89">
        <v>0</v>
      </c>
      <c r="P10" s="97">
        <f>18-2</f>
        <v>16</v>
      </c>
      <c r="Q10" s="12">
        <v>0</v>
      </c>
      <c r="R10" s="12">
        <v>0</v>
      </c>
      <c r="S10" s="12">
        <v>0</v>
      </c>
      <c r="T10" s="12">
        <v>70</v>
      </c>
      <c r="U10" s="10">
        <v>56</v>
      </c>
      <c r="V10" s="10">
        <v>0</v>
      </c>
      <c r="W10" s="10">
        <v>0</v>
      </c>
      <c r="X10" s="89">
        <v>0</v>
      </c>
    </row>
    <row r="11" spans="1:36" s="5" customFormat="1" ht="16.5" hidden="1" thickBot="1" x14ac:dyDescent="0.3">
      <c r="A11" s="49">
        <v>1.6</v>
      </c>
      <c r="B11" s="55" t="s">
        <v>8</v>
      </c>
      <c r="C11" s="153">
        <v>0</v>
      </c>
      <c r="D11" s="82">
        <v>0</v>
      </c>
      <c r="E11" s="31">
        <v>0</v>
      </c>
      <c r="F11" s="31">
        <v>0</v>
      </c>
      <c r="G11" s="82">
        <v>0</v>
      </c>
      <c r="H11" s="10">
        <v>0</v>
      </c>
      <c r="I11" s="10">
        <v>0</v>
      </c>
      <c r="J11" s="81">
        <v>0</v>
      </c>
      <c r="K11" s="10">
        <v>0</v>
      </c>
      <c r="L11" s="10">
        <v>0</v>
      </c>
      <c r="M11" s="107"/>
      <c r="N11" s="89"/>
      <c r="O11" s="89"/>
      <c r="P11" s="97"/>
      <c r="Q11" s="10"/>
      <c r="R11" s="10"/>
      <c r="S11" s="10"/>
      <c r="T11" s="10"/>
      <c r="U11" s="10"/>
      <c r="V11" s="10"/>
      <c r="W11" s="10"/>
      <c r="X11" s="89"/>
    </row>
    <row r="12" spans="1:36" s="5" customFormat="1" ht="17.25" thickBot="1" x14ac:dyDescent="0.3">
      <c r="A12" s="26">
        <v>2</v>
      </c>
      <c r="B12" s="53" t="s">
        <v>9</v>
      </c>
      <c r="C12" s="154"/>
      <c r="D12" s="83"/>
      <c r="E12" s="30"/>
      <c r="F12" s="30"/>
      <c r="G12" s="83"/>
      <c r="H12" s="29"/>
      <c r="I12" s="29"/>
      <c r="J12" s="29"/>
      <c r="K12" s="203"/>
      <c r="L12" s="203"/>
      <c r="M12" s="203"/>
      <c r="N12" s="30"/>
      <c r="O12" s="30"/>
      <c r="P12" s="83"/>
      <c r="Q12" s="203"/>
      <c r="R12" s="203"/>
      <c r="S12" s="203"/>
      <c r="T12" s="203"/>
      <c r="U12" s="203"/>
      <c r="V12" s="203"/>
      <c r="W12" s="203"/>
      <c r="X12" s="30"/>
    </row>
    <row r="13" spans="1:36" s="144" customFormat="1" ht="15.75" customHeight="1" x14ac:dyDescent="0.3">
      <c r="A13" s="47">
        <v>2.1</v>
      </c>
      <c r="B13" s="56" t="s">
        <v>10</v>
      </c>
      <c r="C13" s="179">
        <f>SUM(D13:X13)</f>
        <v>16491</v>
      </c>
      <c r="D13" s="145">
        <f>D6</f>
        <v>3129</v>
      </c>
      <c r="E13" s="147">
        <f t="shared" ref="E13:U13" si="4">E6</f>
        <v>1297</v>
      </c>
      <c r="F13" s="147">
        <f t="shared" ref="F13" si="5">F6</f>
        <v>712</v>
      </c>
      <c r="G13" s="145">
        <f>G6</f>
        <v>645</v>
      </c>
      <c r="H13" s="146">
        <f>H6</f>
        <v>469</v>
      </c>
      <c r="I13" s="146">
        <f t="shared" si="4"/>
        <v>755</v>
      </c>
      <c r="J13" s="212">
        <f>J6</f>
        <v>739</v>
      </c>
      <c r="K13" s="210">
        <f t="shared" si="4"/>
        <v>1344</v>
      </c>
      <c r="L13" s="210">
        <f t="shared" ref="L13" si="6">L6</f>
        <v>749</v>
      </c>
      <c r="M13" s="211">
        <f>M6</f>
        <v>632</v>
      </c>
      <c r="N13" s="230">
        <f>N6</f>
        <v>599</v>
      </c>
      <c r="O13" s="230">
        <f>O6</f>
        <v>644</v>
      </c>
      <c r="P13" s="180">
        <f t="shared" si="4"/>
        <v>674</v>
      </c>
      <c r="Q13" s="210">
        <f>Q6</f>
        <v>38</v>
      </c>
      <c r="R13" s="210">
        <f>R6</f>
        <v>53</v>
      </c>
      <c r="S13" s="210">
        <f>S6</f>
        <v>146</v>
      </c>
      <c r="T13" s="210">
        <f>T6</f>
        <v>1219</v>
      </c>
      <c r="U13" s="210">
        <f t="shared" si="4"/>
        <v>946</v>
      </c>
      <c r="V13" s="210">
        <f t="shared" ref="V13" si="7">V6</f>
        <v>576</v>
      </c>
      <c r="W13" s="276">
        <f>W6</f>
        <v>513</v>
      </c>
      <c r="X13" s="230">
        <f>X6</f>
        <v>612</v>
      </c>
    </row>
    <row r="14" spans="1:36" s="144" customFormat="1" ht="16.5" customHeight="1" x14ac:dyDescent="0.3">
      <c r="A14" s="48">
        <v>2.2000000000000002</v>
      </c>
      <c r="B14" s="24" t="s">
        <v>12</v>
      </c>
      <c r="C14" s="180">
        <f>SUM(D14:X14)</f>
        <v>168192641</v>
      </c>
      <c r="D14" s="145">
        <f>29743282-'Managed portfolio-MFL'!D13</f>
        <v>28157912</v>
      </c>
      <c r="E14" s="146">
        <v>11745370</v>
      </c>
      <c r="F14" s="146">
        <f>9150198-'Managed portfolio-MFL'!E13</f>
        <v>5626971</v>
      </c>
      <c r="G14" s="145">
        <f>9975828-'Managed portfolio-MFL'!F13</f>
        <v>7170713</v>
      </c>
      <c r="H14" s="146">
        <f>7208181-'Managed portfolio-MFL'!G13</f>
        <v>4646742</v>
      </c>
      <c r="I14" s="146">
        <f>13261100-170737-'Managed portfolio-MFL'!H13</f>
        <v>8323017</v>
      </c>
      <c r="J14" s="212">
        <v>6309414</v>
      </c>
      <c r="K14" s="210">
        <f>37570207-14107496-'Managed portfolio-MFL'!I13</f>
        <v>21918711</v>
      </c>
      <c r="L14" s="210">
        <f>14107496+14515-'Managed portfolio-MFL'!J13</f>
        <v>12556011</v>
      </c>
      <c r="M14" s="210">
        <f>14154013-400330-'Managed portfolio-MFL'!K13</f>
        <v>8798145</v>
      </c>
      <c r="N14" s="147">
        <v>6195881</v>
      </c>
      <c r="O14" s="147">
        <f>8697446-'Managed portfolio-MFL'!L13</f>
        <v>6431251</v>
      </c>
      <c r="P14" s="180">
        <f>11586666-'Managed portfolio-MFL'!M13</f>
        <v>7855366</v>
      </c>
      <c r="Q14" s="210">
        <f>3163405-2117660-'Managed portfolio-MFL'!N13</f>
        <v>830280</v>
      </c>
      <c r="R14" s="210">
        <f>3954476-2716705-'Managed portfolio-MFL'!O13</f>
        <v>836771</v>
      </c>
      <c r="S14" s="210">
        <f>5529015-2524369-'Managed portfolio-MFL'!P13</f>
        <v>2290646</v>
      </c>
      <c r="T14" s="210">
        <v>8380618</v>
      </c>
      <c r="U14" s="210">
        <f>10324302-4048028</f>
        <v>6276274</v>
      </c>
      <c r="V14" s="210">
        <f>264578+4048028</f>
        <v>4312606</v>
      </c>
      <c r="W14" s="210">
        <v>4545306</v>
      </c>
      <c r="X14" s="147">
        <v>4984636</v>
      </c>
    </row>
    <row r="15" spans="1:36" s="5" customFormat="1" ht="16.5" hidden="1" customHeight="1" x14ac:dyDescent="0.3">
      <c r="A15" s="118"/>
      <c r="B15" s="119" t="s">
        <v>107</v>
      </c>
      <c r="C15" s="155" t="e">
        <f>C14-#REF!</f>
        <v>#REF!</v>
      </c>
      <c r="D15" s="155" t="e">
        <f>D14-#REF!</f>
        <v>#REF!</v>
      </c>
      <c r="E15" s="155" t="e">
        <f>E14-#REF!</f>
        <v>#REF!</v>
      </c>
      <c r="F15" s="155" t="e">
        <f>F14-#REF!</f>
        <v>#REF!</v>
      </c>
      <c r="G15" s="155" t="e">
        <f>G14-#REF!</f>
        <v>#REF!</v>
      </c>
      <c r="H15" s="155" t="e">
        <f>H14-#REF!</f>
        <v>#REF!</v>
      </c>
      <c r="I15" s="155" t="e">
        <f>I14-#REF!</f>
        <v>#REF!</v>
      </c>
      <c r="J15" s="155" t="e">
        <f>J14-#REF!</f>
        <v>#REF!</v>
      </c>
      <c r="K15" s="204" t="e">
        <f>K14-#REF!</f>
        <v>#REF!</v>
      </c>
      <c r="L15" s="204" t="e">
        <f>L14-#REF!</f>
        <v>#REF!</v>
      </c>
      <c r="M15" s="204" t="e">
        <f>M14-#REF!</f>
        <v>#REF!</v>
      </c>
      <c r="N15" s="231" t="e">
        <f>N14-#REF!</f>
        <v>#REF!</v>
      </c>
      <c r="O15" s="231" t="e">
        <f>O14-#REF!</f>
        <v>#REF!</v>
      </c>
      <c r="P15" s="155" t="e">
        <f>P14-#REF!</f>
        <v>#REF!</v>
      </c>
      <c r="Q15" s="204" t="e">
        <f>Q14-#REF!</f>
        <v>#REF!</v>
      </c>
      <c r="R15" s="204" t="e">
        <f>R14-#REF!</f>
        <v>#REF!</v>
      </c>
      <c r="S15" s="204" t="e">
        <f>S14-#REF!</f>
        <v>#REF!</v>
      </c>
      <c r="T15" s="204" t="e">
        <f>T14-#REF!</f>
        <v>#REF!</v>
      </c>
      <c r="U15" s="204" t="e">
        <f>U14-#REF!</f>
        <v>#REF!</v>
      </c>
      <c r="V15" s="204" t="e">
        <f>V14-#REF!</f>
        <v>#REF!</v>
      </c>
      <c r="W15" s="204" t="e">
        <f>W14-#REF!</f>
        <v>#REF!</v>
      </c>
      <c r="X15" s="231" t="e">
        <f>X14-#REF!</f>
        <v>#REF!</v>
      </c>
    </row>
    <row r="16" spans="1:36" s="5" customFormat="1" ht="15.75" x14ac:dyDescent="0.25">
      <c r="A16" s="48">
        <v>2.2999999999999998</v>
      </c>
      <c r="B16" s="24" t="s">
        <v>13</v>
      </c>
      <c r="C16" s="156">
        <f>C14/C13</f>
        <v>10199.056515675216</v>
      </c>
      <c r="D16" s="156">
        <f t="shared" ref="D16:U16" si="8">D14/D13</f>
        <v>8999.0131032278678</v>
      </c>
      <c r="E16" s="157">
        <f t="shared" si="8"/>
        <v>9055.7979953739396</v>
      </c>
      <c r="F16" s="157">
        <f>F14/F13</f>
        <v>7903.0491573033705</v>
      </c>
      <c r="G16" s="158">
        <f t="shared" si="8"/>
        <v>11117.38449612403</v>
      </c>
      <c r="H16" s="159">
        <f t="shared" si="8"/>
        <v>9907.7654584221746</v>
      </c>
      <c r="I16" s="159">
        <f t="shared" si="8"/>
        <v>11023.863576158941</v>
      </c>
      <c r="J16" s="199">
        <f t="shared" si="8"/>
        <v>8537.7726657645471</v>
      </c>
      <c r="K16" s="159">
        <f t="shared" si="8"/>
        <v>16308.564732142857</v>
      </c>
      <c r="L16" s="159">
        <f t="shared" ref="L16" si="9">L14/L13</f>
        <v>16763.699599465956</v>
      </c>
      <c r="M16" s="15">
        <f t="shared" si="8"/>
        <v>13921.115506329113</v>
      </c>
      <c r="N16" s="232">
        <f t="shared" si="8"/>
        <v>10343.707846410685</v>
      </c>
      <c r="O16" s="232">
        <f t="shared" ref="O16" si="10">O14/O13</f>
        <v>9986.4145962732928</v>
      </c>
      <c r="P16" s="156">
        <f t="shared" si="8"/>
        <v>11654.845697329376</v>
      </c>
      <c r="Q16" s="159">
        <f t="shared" si="8"/>
        <v>21849.473684210527</v>
      </c>
      <c r="R16" s="159">
        <f t="shared" ref="R16:S16" si="11">R14/R13</f>
        <v>15788.132075471698</v>
      </c>
      <c r="S16" s="159">
        <f t="shared" si="11"/>
        <v>15689.356164383562</v>
      </c>
      <c r="T16" s="159">
        <f t="shared" si="8"/>
        <v>6874.9942575881869</v>
      </c>
      <c r="U16" s="159">
        <f t="shared" si="8"/>
        <v>6634.5391120507402</v>
      </c>
      <c r="V16" s="159">
        <f t="shared" ref="V16" si="12">V14/V13</f>
        <v>7487.1631944444443</v>
      </c>
      <c r="W16" s="15">
        <f t="shared" ref="W16:X16" si="13">W14/W13</f>
        <v>8860.2456140350878</v>
      </c>
      <c r="X16" s="232">
        <f t="shared" si="13"/>
        <v>8144.830065359477</v>
      </c>
    </row>
    <row r="17" spans="1:24" s="5" customFormat="1" ht="15.75" x14ac:dyDescent="0.25">
      <c r="A17" s="48">
        <v>2.4</v>
      </c>
      <c r="B17" s="24" t="s">
        <v>28</v>
      </c>
      <c r="C17" s="153">
        <f>SUM(D17:X17)</f>
        <v>53</v>
      </c>
      <c r="D17" s="198">
        <v>5</v>
      </c>
      <c r="E17" s="101">
        <v>3</v>
      </c>
      <c r="F17" s="101">
        <v>2</v>
      </c>
      <c r="G17" s="86">
        <v>1</v>
      </c>
      <c r="H17" s="12">
        <v>1</v>
      </c>
      <c r="I17" s="101">
        <v>3</v>
      </c>
      <c r="J17" s="270">
        <v>2</v>
      </c>
      <c r="K17" s="12">
        <v>4</v>
      </c>
      <c r="L17" s="12">
        <v>2</v>
      </c>
      <c r="M17" s="12">
        <v>2</v>
      </c>
      <c r="N17" s="233">
        <v>1</v>
      </c>
      <c r="O17" s="197">
        <v>2</v>
      </c>
      <c r="P17" s="198">
        <v>2</v>
      </c>
      <c r="Q17" s="12">
        <v>1</v>
      </c>
      <c r="R17" s="12">
        <v>1</v>
      </c>
      <c r="S17" s="12">
        <v>2</v>
      </c>
      <c r="T17" s="12">
        <v>3</v>
      </c>
      <c r="U17" s="12">
        <v>6</v>
      </c>
      <c r="V17" s="12">
        <v>6</v>
      </c>
      <c r="W17" s="12">
        <v>2</v>
      </c>
      <c r="X17" s="233">
        <v>2</v>
      </c>
    </row>
    <row r="18" spans="1:24" s="5" customFormat="1" ht="15.75" x14ac:dyDescent="0.25">
      <c r="A18" s="48">
        <v>2.5</v>
      </c>
      <c r="B18" s="24" t="s">
        <v>29</v>
      </c>
      <c r="C18" s="161">
        <f>+C6/C17</f>
        <v>311.15094339622641</v>
      </c>
      <c r="D18" s="162">
        <f>+D6/D17</f>
        <v>625.79999999999995</v>
      </c>
      <c r="E18" s="162">
        <f t="shared" ref="E18:K18" si="14">+E6/E17</f>
        <v>432.33333333333331</v>
      </c>
      <c r="F18" s="162">
        <f>+F6/F17</f>
        <v>356</v>
      </c>
      <c r="G18" s="163">
        <f t="shared" si="14"/>
        <v>645</v>
      </c>
      <c r="H18" s="164">
        <f t="shared" si="14"/>
        <v>469</v>
      </c>
      <c r="I18" s="164">
        <f t="shared" si="14"/>
        <v>251.66666666666666</v>
      </c>
      <c r="J18" s="271">
        <f t="shared" si="14"/>
        <v>369.5</v>
      </c>
      <c r="K18" s="164">
        <f t="shared" si="14"/>
        <v>336</v>
      </c>
      <c r="L18" s="164">
        <f t="shared" ref="L18" si="15">+L6/L17</f>
        <v>374.5</v>
      </c>
      <c r="M18" s="15">
        <f>M13/M17</f>
        <v>316</v>
      </c>
      <c r="N18" s="232">
        <f>N13/N17</f>
        <v>599</v>
      </c>
      <c r="O18" s="232">
        <f>O13/O17</f>
        <v>322</v>
      </c>
      <c r="P18" s="161">
        <f t="shared" ref="P18:U18" si="16">+P6/P17</f>
        <v>337</v>
      </c>
      <c r="Q18" s="164">
        <f t="shared" ref="Q18" si="17">+Q6/Q17</f>
        <v>38</v>
      </c>
      <c r="R18" s="164">
        <f>+R6/R17</f>
        <v>53</v>
      </c>
      <c r="S18" s="164">
        <f>+S6/S17</f>
        <v>73</v>
      </c>
      <c r="T18" s="164">
        <f t="shared" si="16"/>
        <v>406.33333333333331</v>
      </c>
      <c r="U18" s="164">
        <f t="shared" si="16"/>
        <v>157.66666666666666</v>
      </c>
      <c r="V18" s="164">
        <f t="shared" ref="V18" si="18">+V6/V17</f>
        <v>96</v>
      </c>
      <c r="W18" s="15">
        <f>W13/W17</f>
        <v>256.5</v>
      </c>
      <c r="X18" s="232">
        <f>X13/X17</f>
        <v>306</v>
      </c>
    </row>
    <row r="19" spans="1:24" s="5" customFormat="1" ht="16.5" thickBot="1" x14ac:dyDescent="0.3">
      <c r="A19" s="48">
        <v>2.6</v>
      </c>
      <c r="B19" s="55" t="s">
        <v>30</v>
      </c>
      <c r="C19" s="165">
        <f>C14/C17</f>
        <v>3173446.0566037735</v>
      </c>
      <c r="D19" s="166">
        <f t="shared" ref="D19:U19" si="19">D14/D17</f>
        <v>5631582.4000000004</v>
      </c>
      <c r="E19" s="167">
        <f t="shared" si="19"/>
        <v>3915123.3333333335</v>
      </c>
      <c r="F19" s="167">
        <f t="shared" ref="F19" si="20">F14/F17</f>
        <v>2813485.5</v>
      </c>
      <c r="G19" s="166">
        <f t="shared" si="19"/>
        <v>7170713</v>
      </c>
      <c r="H19" s="167">
        <f t="shared" si="19"/>
        <v>4646742</v>
      </c>
      <c r="I19" s="167">
        <f t="shared" si="19"/>
        <v>2774339</v>
      </c>
      <c r="J19" s="168">
        <f t="shared" si="19"/>
        <v>3154707</v>
      </c>
      <c r="K19" s="164">
        <f t="shared" si="19"/>
        <v>5479677.75</v>
      </c>
      <c r="L19" s="164">
        <f t="shared" ref="L19" si="21">L14/L17</f>
        <v>6278005.5</v>
      </c>
      <c r="M19" s="15">
        <f t="shared" si="19"/>
        <v>4399072.5</v>
      </c>
      <c r="N19" s="232">
        <f t="shared" si="19"/>
        <v>6195881</v>
      </c>
      <c r="O19" s="232">
        <f t="shared" ref="O19" si="22">O14/O17</f>
        <v>3215625.5</v>
      </c>
      <c r="P19" s="165">
        <f t="shared" si="19"/>
        <v>3927683</v>
      </c>
      <c r="Q19" s="164">
        <f t="shared" si="19"/>
        <v>830280</v>
      </c>
      <c r="R19" s="164">
        <f t="shared" ref="R19:S19" si="23">R14/R17</f>
        <v>836771</v>
      </c>
      <c r="S19" s="164">
        <f t="shared" si="23"/>
        <v>1145323</v>
      </c>
      <c r="T19" s="164">
        <f t="shared" si="19"/>
        <v>2793539.3333333335</v>
      </c>
      <c r="U19" s="164">
        <f t="shared" si="19"/>
        <v>1046045.6666666666</v>
      </c>
      <c r="V19" s="164">
        <f t="shared" ref="V19" si="24">V14/V17</f>
        <v>718767.66666666663</v>
      </c>
      <c r="W19" s="15">
        <f t="shared" ref="W19:X19" si="25">W14/W17</f>
        <v>2272653</v>
      </c>
      <c r="X19" s="232">
        <f t="shared" si="25"/>
        <v>2492318</v>
      </c>
    </row>
    <row r="20" spans="1:24" s="5" customFormat="1" ht="17.25" thickBot="1" x14ac:dyDescent="0.3">
      <c r="A20" s="26">
        <v>3</v>
      </c>
      <c r="B20" s="53" t="s">
        <v>17</v>
      </c>
      <c r="C20" s="154"/>
      <c r="D20" s="83"/>
      <c r="E20" s="30"/>
      <c r="F20" s="30"/>
      <c r="G20" s="83"/>
      <c r="H20" s="29"/>
      <c r="I20" s="29"/>
      <c r="J20" s="29"/>
      <c r="K20" s="203"/>
      <c r="L20" s="203"/>
      <c r="M20" s="203"/>
      <c r="N20" s="30"/>
      <c r="O20" s="30"/>
      <c r="P20" s="83"/>
      <c r="Q20" s="203"/>
      <c r="R20" s="203"/>
      <c r="S20" s="203"/>
      <c r="T20" s="203"/>
      <c r="U20" s="203"/>
      <c r="V20" s="203"/>
      <c r="W20" s="203"/>
      <c r="X20" s="30"/>
    </row>
    <row r="21" spans="1:24" s="5" customFormat="1" ht="16.5" x14ac:dyDescent="0.3">
      <c r="A21" s="48">
        <v>3.1</v>
      </c>
      <c r="B21" s="54" t="s">
        <v>19</v>
      </c>
      <c r="C21" s="179">
        <f>SUM(D21:X21)</f>
        <v>2192</v>
      </c>
      <c r="D21" s="84">
        <f>283-'Managed portfolio-MFL'!D19</f>
        <v>198</v>
      </c>
      <c r="E21" s="211">
        <v>188</v>
      </c>
      <c r="F21" s="211">
        <f>162-'Managed portfolio-MFL'!E19</f>
        <v>162</v>
      </c>
      <c r="G21" s="211">
        <f>119-'Managed portfolio-MFL'!F19</f>
        <v>88</v>
      </c>
      <c r="H21" s="211">
        <v>50</v>
      </c>
      <c r="I21" s="211">
        <f>98-'Managed portfolio-MFL'!H19</f>
        <v>90</v>
      </c>
      <c r="J21" s="272">
        <v>53</v>
      </c>
      <c r="K21" s="211">
        <f>416-208-'Managed portfolio-MFL'!I19</f>
        <v>183</v>
      </c>
      <c r="L21" s="211">
        <f>208-'Managed portfolio-MFL'!J19</f>
        <v>136</v>
      </c>
      <c r="M21" s="211">
        <f>143-'Managed portfolio-MFL'!K19</f>
        <v>122</v>
      </c>
      <c r="N21" s="234">
        <v>98</v>
      </c>
      <c r="O21" s="234">
        <f>60-'Managed portfolio-MFL'!L19</f>
        <v>51</v>
      </c>
      <c r="P21" s="213">
        <f>100-'Managed portfolio-MFL'!M19</f>
        <v>93</v>
      </c>
      <c r="Q21" s="211">
        <f>35-'Managed portfolio-MFL'!N19</f>
        <v>28</v>
      </c>
      <c r="R21" s="211">
        <f>15-'Managed portfolio-MFL'!O19</f>
        <v>15</v>
      </c>
      <c r="S21" s="211">
        <f>80-'Managed portfolio-MFL'!P19</f>
        <v>45</v>
      </c>
      <c r="T21" s="211">
        <v>186</v>
      </c>
      <c r="U21" s="211">
        <f>247-100</f>
        <v>147</v>
      </c>
      <c r="V21" s="211">
        <f>78+22</f>
        <v>100</v>
      </c>
      <c r="W21" s="211">
        <v>76</v>
      </c>
      <c r="X21" s="234">
        <v>83</v>
      </c>
    </row>
    <row r="22" spans="1:24" s="5" customFormat="1" ht="16.5" x14ac:dyDescent="0.3">
      <c r="A22" s="48">
        <v>3.2</v>
      </c>
      <c r="B22" s="24" t="s">
        <v>21</v>
      </c>
      <c r="C22" s="179">
        <f>SUM(D22:X22)</f>
        <v>34956000</v>
      </c>
      <c r="D22" s="145">
        <f>4541000-'Managed portfolio-MFL'!D20</f>
        <v>3211000</v>
      </c>
      <c r="E22" s="145">
        <v>2700000</v>
      </c>
      <c r="F22" s="260">
        <f>1620000-'Managed portfolio-MFL'!E20</f>
        <v>1620000</v>
      </c>
      <c r="G22" s="260">
        <f>2320000-'Managed portfolio-MFL'!F20</f>
        <v>1765000</v>
      </c>
      <c r="H22" s="260">
        <v>864000</v>
      </c>
      <c r="I22" s="260">
        <f>1628000-'Managed portfolio-MFL'!H20</f>
        <v>1508000</v>
      </c>
      <c r="J22" s="180">
        <v>780000</v>
      </c>
      <c r="K22" s="260">
        <f>9086000-4579000-'Managed portfolio-MFL'!I20</f>
        <v>3979000</v>
      </c>
      <c r="L22" s="260">
        <f>4579000-'Managed portfolio-MFL'!J20</f>
        <v>3013000</v>
      </c>
      <c r="M22" s="210">
        <f>2747000-'Managed portfolio-MFL'!K20</f>
        <v>2427000</v>
      </c>
      <c r="N22" s="147">
        <v>1825000</v>
      </c>
      <c r="O22" s="268">
        <f>964000-'Managed portfolio-MFL'!L20</f>
        <v>829000</v>
      </c>
      <c r="P22" s="269">
        <f>2235000-'Managed portfolio-MFL'!M20</f>
        <v>2065000</v>
      </c>
      <c r="Q22" s="210">
        <f>751000-'Managed portfolio-MFL'!N20</f>
        <v>644000</v>
      </c>
      <c r="R22" s="210">
        <f>255000-'Managed portfolio-MFL'!O20</f>
        <v>255000</v>
      </c>
      <c r="S22" s="210">
        <f>1360000-'Managed portfolio-MFL'!P20</f>
        <v>765000</v>
      </c>
      <c r="T22" s="210">
        <v>2040000</v>
      </c>
      <c r="U22" s="210">
        <f>2783000-910000-181000</f>
        <v>1692000</v>
      </c>
      <c r="V22" s="210">
        <f>910000+181000</f>
        <v>1091000</v>
      </c>
      <c r="W22" s="210">
        <v>958000</v>
      </c>
      <c r="X22" s="147">
        <v>925000</v>
      </c>
    </row>
    <row r="23" spans="1:24" s="109" customFormat="1" ht="15.75" x14ac:dyDescent="0.25">
      <c r="A23" s="111">
        <v>3.3</v>
      </c>
      <c r="B23" s="112" t="s">
        <v>22</v>
      </c>
      <c r="C23" s="169">
        <f>SUM(D23:X23)</f>
        <v>17451432</v>
      </c>
      <c r="D23" s="105">
        <f t="shared" ref="D23:X23" si="26">D24+D43</f>
        <v>3597755</v>
      </c>
      <c r="E23" s="105">
        <f t="shared" si="26"/>
        <v>1497759</v>
      </c>
      <c r="F23" s="105">
        <f t="shared" si="26"/>
        <v>444915</v>
      </c>
      <c r="G23" s="105">
        <f t="shared" si="26"/>
        <v>827999</v>
      </c>
      <c r="H23" s="105">
        <f t="shared" si="26"/>
        <v>566856</v>
      </c>
      <c r="I23" s="105">
        <f t="shared" si="26"/>
        <v>771921</v>
      </c>
      <c r="J23" s="192">
        <f t="shared" si="26"/>
        <v>814163</v>
      </c>
      <c r="K23" s="107">
        <f>K24+K43</f>
        <v>1833090</v>
      </c>
      <c r="L23" s="107">
        <f>L24+L43</f>
        <v>1001320</v>
      </c>
      <c r="M23" s="107">
        <f t="shared" si="26"/>
        <v>802329</v>
      </c>
      <c r="N23" s="237">
        <f t="shared" si="26"/>
        <v>636912</v>
      </c>
      <c r="O23" s="108">
        <f t="shared" si="26"/>
        <v>721380</v>
      </c>
      <c r="P23" s="192">
        <f t="shared" si="26"/>
        <v>944159</v>
      </c>
      <c r="Q23" s="107">
        <f t="shared" si="26"/>
        <v>13720</v>
      </c>
      <c r="R23" s="107">
        <f t="shared" ref="R23:S23" si="27">R24+R43</f>
        <v>48127</v>
      </c>
      <c r="S23" s="107">
        <f t="shared" si="27"/>
        <v>134713</v>
      </c>
      <c r="T23" s="107">
        <f t="shared" si="26"/>
        <v>896294</v>
      </c>
      <c r="U23" s="107">
        <f t="shared" si="26"/>
        <v>641577</v>
      </c>
      <c r="V23" s="107">
        <f t="shared" ref="V23" si="28">V24+V43</f>
        <v>438157</v>
      </c>
      <c r="W23" s="107">
        <f t="shared" si="26"/>
        <v>360547</v>
      </c>
      <c r="X23" s="237">
        <f t="shared" si="26"/>
        <v>457739</v>
      </c>
    </row>
    <row r="24" spans="1:24" s="5" customFormat="1" ht="15.75" x14ac:dyDescent="0.25">
      <c r="A24" s="48">
        <v>3.4</v>
      </c>
      <c r="B24" s="24" t="s">
        <v>23</v>
      </c>
      <c r="C24" s="148">
        <f>SUM(D24:X24)</f>
        <v>17394567</v>
      </c>
      <c r="D24" s="82">
        <f>3622385-'Managed portfolio-MFL'!D22</f>
        <v>3597755</v>
      </c>
      <c r="E24" s="10">
        <v>1497759</v>
      </c>
      <c r="F24" s="10">
        <f>868131-'Managed portfolio-MFL'!E22</f>
        <v>444915</v>
      </c>
      <c r="G24" s="10">
        <f>1066319-'Managed portfolio-MFL'!F22</f>
        <v>805058</v>
      </c>
      <c r="H24" s="10">
        <f>824829-'Managed portfolio-MFL'!G22</f>
        <v>565119</v>
      </c>
      <c r="I24" s="10">
        <f>1615166-306975-'Managed portfolio-MFL'!H22</f>
        <v>771921</v>
      </c>
      <c r="J24" s="81">
        <v>809070</v>
      </c>
      <c r="K24" s="12">
        <f>2819395-986305-'Managed portfolio-MFL'!I22</f>
        <v>1833090</v>
      </c>
      <c r="L24" s="107">
        <f>986305+500</f>
        <v>986805</v>
      </c>
      <c r="M24" s="107">
        <f>1828234-666395-'Managed portfolio-MFL'!K22</f>
        <v>802329</v>
      </c>
      <c r="N24" s="89">
        <v>636912</v>
      </c>
      <c r="O24" s="89">
        <f>943317-'Managed portfolio-MFL'!L22</f>
        <v>721380</v>
      </c>
      <c r="P24" s="97">
        <f>1222814-'Managed portfolio-MFL'!M22</f>
        <v>931580</v>
      </c>
      <c r="Q24" s="10">
        <f>1328572-1304317-'Managed portfolio-MFL'!N22</f>
        <v>13720</v>
      </c>
      <c r="R24" s="10">
        <f>965560-917433-'Managed portfolio-MFL'!O22</f>
        <v>48127</v>
      </c>
      <c r="S24" s="10">
        <f>1183486-1048773-'Managed portfolio-MFL'!P22</f>
        <v>134713</v>
      </c>
      <c r="T24" s="10">
        <v>896294</v>
      </c>
      <c r="U24" s="10">
        <v>641577</v>
      </c>
      <c r="V24" s="10">
        <f>228048+82065+128044</f>
        <v>438157</v>
      </c>
      <c r="W24" s="10">
        <v>360547</v>
      </c>
      <c r="X24" s="89">
        <v>457739</v>
      </c>
    </row>
    <row r="25" spans="1:24" s="5" customFormat="1" ht="16.5" thickBot="1" x14ac:dyDescent="0.3">
      <c r="A25" s="48">
        <v>3.5</v>
      </c>
      <c r="B25" s="57" t="s">
        <v>24</v>
      </c>
      <c r="C25" s="148">
        <f>SUM(D25:X25)</f>
        <v>2967557</v>
      </c>
      <c r="D25" s="85">
        <f>558406-'Managed portfolio-MFL'!D23</f>
        <v>556156</v>
      </c>
      <c r="E25" s="15">
        <v>206267</v>
      </c>
      <c r="F25" s="15">
        <f>152349-'Managed portfolio-MFL'!E23</f>
        <v>83085</v>
      </c>
      <c r="G25" s="255">
        <f>181560-'Managed portfolio-MFL'!F23</f>
        <v>127821</v>
      </c>
      <c r="H25" s="255">
        <f>132775-'Managed portfolio-MFL'!G23</f>
        <v>82825</v>
      </c>
      <c r="I25" s="255">
        <f>273211-15870-'Managed portfolio-MFL'!H23</f>
        <v>149941</v>
      </c>
      <c r="J25" s="273">
        <v>121337</v>
      </c>
      <c r="K25" s="255">
        <f>600505-215685-'Managed portfolio-MFL'!I23</f>
        <v>384820</v>
      </c>
      <c r="L25" s="286">
        <v>215685</v>
      </c>
      <c r="M25" s="286">
        <f>276573-42819-'Managed portfolio-MFL'!K23</f>
        <v>158864</v>
      </c>
      <c r="N25" s="233">
        <v>87858</v>
      </c>
      <c r="O25" s="257">
        <f>176352-'Managed portfolio-MFL'!L23</f>
        <v>127569</v>
      </c>
      <c r="P25" s="266">
        <f>217871-'Managed portfolio-MFL'!M23</f>
        <v>141985</v>
      </c>
      <c r="Q25" s="15">
        <f>87219-83924-'Managed portfolio-MFL'!N23</f>
        <v>2280</v>
      </c>
      <c r="R25" s="15">
        <f>95246-80883-'Managed portfolio-MFL'!O23</f>
        <v>14363</v>
      </c>
      <c r="S25" s="15">
        <f>106612-75095-'Managed portfolio-MFL'!P23</f>
        <v>31517</v>
      </c>
      <c r="T25" s="12">
        <v>136165</v>
      </c>
      <c r="U25" s="12">
        <v>101851</v>
      </c>
      <c r="V25" s="12">
        <f>45012+18375+8127</f>
        <v>71514</v>
      </c>
      <c r="W25" s="12">
        <v>76423</v>
      </c>
      <c r="X25" s="89">
        <v>89231</v>
      </c>
    </row>
    <row r="26" spans="1:24" s="5" customFormat="1" ht="17.25" thickBot="1" x14ac:dyDescent="0.3">
      <c r="A26" s="26">
        <v>4</v>
      </c>
      <c r="B26" s="53" t="s">
        <v>26</v>
      </c>
      <c r="C26" s="261"/>
      <c r="D26" s="261"/>
      <c r="E26" s="261"/>
      <c r="F26" s="261"/>
      <c r="G26" s="261"/>
      <c r="H26" s="261"/>
      <c r="I26" s="261"/>
      <c r="J26" s="261"/>
      <c r="K26" s="264"/>
      <c r="L26" s="264"/>
      <c r="M26" s="264"/>
      <c r="N26" s="263"/>
      <c r="O26" s="261"/>
      <c r="P26" s="261"/>
      <c r="Q26" s="264"/>
      <c r="R26" s="264"/>
      <c r="S26" s="264"/>
      <c r="T26" s="264"/>
      <c r="U26" s="264"/>
      <c r="V26" s="264"/>
      <c r="W26" s="264"/>
      <c r="X26" s="263"/>
    </row>
    <row r="27" spans="1:24" s="5" customFormat="1" ht="16.5" x14ac:dyDescent="0.25">
      <c r="A27" s="48">
        <v>4.0999999999999996</v>
      </c>
      <c r="B27" s="54" t="s">
        <v>31</v>
      </c>
      <c r="C27" s="170">
        <f>(C50-C45-C46)/C14</f>
        <v>2.8816956385148862E-4</v>
      </c>
      <c r="D27" s="87">
        <f>D54</f>
        <v>0</v>
      </c>
      <c r="E27" s="35">
        <f t="shared" ref="E27:P27" si="29">E54</f>
        <v>0</v>
      </c>
      <c r="F27" s="35">
        <f t="shared" ref="F27" si="30">F54</f>
        <v>0</v>
      </c>
      <c r="G27" s="87">
        <f t="shared" si="29"/>
        <v>0</v>
      </c>
      <c r="H27" s="14">
        <f t="shared" si="29"/>
        <v>0</v>
      </c>
      <c r="I27" s="14">
        <f t="shared" si="29"/>
        <v>0</v>
      </c>
      <c r="J27" s="274">
        <f t="shared" si="29"/>
        <v>0</v>
      </c>
      <c r="K27" s="14">
        <f t="shared" si="29"/>
        <v>0</v>
      </c>
      <c r="L27" s="14">
        <f t="shared" ref="L27" si="31">L54</f>
        <v>0</v>
      </c>
      <c r="M27" s="14">
        <f t="shared" si="29"/>
        <v>0</v>
      </c>
      <c r="N27" s="235">
        <f t="shared" ref="N27:O27" si="32">N54</f>
        <v>0</v>
      </c>
      <c r="O27" s="235">
        <f t="shared" si="32"/>
        <v>0</v>
      </c>
      <c r="P27" s="200">
        <f t="shared" si="29"/>
        <v>9.1567980409824307E-2</v>
      </c>
      <c r="Q27" s="14">
        <f t="shared" ref="Q27:V27" si="33">Q54</f>
        <v>0</v>
      </c>
      <c r="R27" s="14">
        <f t="shared" si="33"/>
        <v>0</v>
      </c>
      <c r="S27" s="14">
        <f t="shared" si="33"/>
        <v>0</v>
      </c>
      <c r="T27" s="14">
        <f t="shared" si="33"/>
        <v>0</v>
      </c>
      <c r="U27" s="14">
        <f t="shared" si="33"/>
        <v>0</v>
      </c>
      <c r="V27" s="14">
        <f t="shared" si="33"/>
        <v>0</v>
      </c>
      <c r="W27" s="14">
        <f t="shared" ref="W27:X27" si="34">W54</f>
        <v>0</v>
      </c>
      <c r="X27" s="235">
        <f t="shared" si="34"/>
        <v>0</v>
      </c>
    </row>
    <row r="28" spans="1:24" s="5" customFormat="1" ht="17.25" thickBot="1" x14ac:dyDescent="0.3">
      <c r="A28" s="48">
        <v>4.2</v>
      </c>
      <c r="B28" s="57" t="s">
        <v>25</v>
      </c>
      <c r="C28" s="170">
        <f>(C14-C50)/C14</f>
        <v>0.99947462029566447</v>
      </c>
      <c r="D28" s="88">
        <f t="shared" ref="D28:X28" si="35">(D24/D23)*100</f>
        <v>100</v>
      </c>
      <c r="E28" s="34">
        <f t="shared" si="35"/>
        <v>100</v>
      </c>
      <c r="F28" s="34">
        <f t="shared" si="35"/>
        <v>100</v>
      </c>
      <c r="G28" s="88">
        <f t="shared" si="35"/>
        <v>97.229344479884645</v>
      </c>
      <c r="H28" s="13">
        <f t="shared" si="35"/>
        <v>99.693572970913252</v>
      </c>
      <c r="I28" s="13">
        <f t="shared" si="35"/>
        <v>100</v>
      </c>
      <c r="J28" s="275">
        <f t="shared" si="35"/>
        <v>99.374449588104596</v>
      </c>
      <c r="K28" s="13">
        <f t="shared" si="35"/>
        <v>100</v>
      </c>
      <c r="L28" s="13">
        <f t="shared" ref="L28" si="36">(L24/L23)*100</f>
        <v>98.550413454240399</v>
      </c>
      <c r="M28" s="13">
        <f t="shared" si="35"/>
        <v>100</v>
      </c>
      <c r="N28" s="172">
        <f t="shared" si="35"/>
        <v>100</v>
      </c>
      <c r="O28" s="172">
        <f t="shared" si="35"/>
        <v>100</v>
      </c>
      <c r="P28" s="201">
        <f t="shared" si="35"/>
        <v>98.667703215242355</v>
      </c>
      <c r="Q28" s="13">
        <f t="shared" si="35"/>
        <v>100</v>
      </c>
      <c r="R28" s="13">
        <f t="shared" ref="R28:S28" si="37">(R24/R23)*100</f>
        <v>100</v>
      </c>
      <c r="S28" s="13">
        <f t="shared" si="37"/>
        <v>100</v>
      </c>
      <c r="T28" s="13">
        <f t="shared" si="35"/>
        <v>100</v>
      </c>
      <c r="U28" s="13">
        <f t="shared" si="35"/>
        <v>100</v>
      </c>
      <c r="V28" s="13">
        <f t="shared" ref="V28" si="38">(V24/V23)*100</f>
        <v>100</v>
      </c>
      <c r="W28" s="13">
        <f t="shared" si="35"/>
        <v>100</v>
      </c>
      <c r="X28" s="172">
        <f t="shared" si="35"/>
        <v>100</v>
      </c>
    </row>
    <row r="29" spans="1:24" s="5" customFormat="1" ht="17.25" thickBot="1" x14ac:dyDescent="0.3">
      <c r="A29" s="26">
        <v>5</v>
      </c>
      <c r="B29" s="207" t="s">
        <v>42</v>
      </c>
      <c r="C29" s="209"/>
      <c r="D29" s="203"/>
      <c r="E29" s="203"/>
      <c r="F29" s="203"/>
      <c r="G29" s="203"/>
      <c r="H29" s="203"/>
      <c r="I29" s="203"/>
      <c r="J29" s="215"/>
      <c r="K29" s="203"/>
      <c r="L29" s="203"/>
      <c r="M29" s="203"/>
      <c r="N29" s="265"/>
      <c r="O29" s="236"/>
      <c r="P29" s="215"/>
      <c r="Q29" s="203"/>
      <c r="R29" s="203"/>
      <c r="S29" s="203"/>
      <c r="T29" s="203"/>
      <c r="U29" s="203"/>
      <c r="V29" s="203"/>
      <c r="W29" s="203"/>
      <c r="X29" s="265"/>
    </row>
    <row r="30" spans="1:24" s="5" customFormat="1" ht="17.25" thickBot="1" x14ac:dyDescent="0.3">
      <c r="A30" s="32" t="s">
        <v>44</v>
      </c>
      <c r="B30" s="208" t="s">
        <v>39</v>
      </c>
      <c r="C30" s="209"/>
      <c r="D30" s="203"/>
      <c r="E30" s="203"/>
      <c r="F30" s="203"/>
      <c r="G30" s="203"/>
      <c r="H30" s="203"/>
      <c r="I30" s="203"/>
      <c r="J30" s="215"/>
      <c r="K30" s="203"/>
      <c r="L30" s="203"/>
      <c r="M30" s="203"/>
      <c r="N30" s="265"/>
      <c r="O30" s="236"/>
      <c r="P30" s="215"/>
      <c r="Q30" s="203"/>
      <c r="R30" s="203"/>
      <c r="S30" s="203"/>
      <c r="T30" s="203"/>
      <c r="U30" s="203"/>
      <c r="V30" s="203"/>
      <c r="W30" s="203"/>
      <c r="X30" s="265"/>
    </row>
    <row r="31" spans="1:24" s="5" customFormat="1" ht="15.75" x14ac:dyDescent="0.25">
      <c r="A31" s="51" t="s">
        <v>53</v>
      </c>
      <c r="B31" s="92" t="s">
        <v>14</v>
      </c>
      <c r="C31" s="174">
        <f>SUM(D31:X31)</f>
        <v>6</v>
      </c>
      <c r="D31" s="82">
        <v>0</v>
      </c>
      <c r="E31" s="31">
        <v>0</v>
      </c>
      <c r="F31" s="31">
        <v>0</v>
      </c>
      <c r="G31" s="105">
        <v>1</v>
      </c>
      <c r="H31" s="107">
        <v>0</v>
      </c>
      <c r="I31" s="107">
        <v>0</v>
      </c>
      <c r="J31" s="270">
        <v>0</v>
      </c>
      <c r="K31" s="107">
        <v>0</v>
      </c>
      <c r="L31" s="107">
        <v>0</v>
      </c>
      <c r="M31" s="107">
        <v>0</v>
      </c>
      <c r="N31" s="89">
        <v>0</v>
      </c>
      <c r="O31" s="89">
        <v>0</v>
      </c>
      <c r="P31" s="97">
        <v>5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89">
        <v>0</v>
      </c>
    </row>
    <row r="32" spans="1:24" s="5" customFormat="1" ht="15.75" x14ac:dyDescent="0.25">
      <c r="A32" s="51" t="s">
        <v>54</v>
      </c>
      <c r="B32" s="93" t="s">
        <v>15</v>
      </c>
      <c r="C32" s="174">
        <f>SUM(D32:X32)</f>
        <v>1</v>
      </c>
      <c r="D32" s="82">
        <v>0</v>
      </c>
      <c r="E32" s="31">
        <v>0</v>
      </c>
      <c r="F32" s="31">
        <v>0</v>
      </c>
      <c r="G32" s="105">
        <v>0</v>
      </c>
      <c r="H32" s="107">
        <v>1</v>
      </c>
      <c r="I32" s="107">
        <v>0</v>
      </c>
      <c r="J32" s="270">
        <v>0</v>
      </c>
      <c r="K32" s="107">
        <v>0</v>
      </c>
      <c r="L32" s="107">
        <v>0</v>
      </c>
      <c r="M32" s="107">
        <v>0</v>
      </c>
      <c r="N32" s="89">
        <v>0</v>
      </c>
      <c r="O32" s="89">
        <v>0</v>
      </c>
      <c r="P32" s="97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89">
        <v>0</v>
      </c>
    </row>
    <row r="33" spans="1:24" s="5" customFormat="1" ht="15.75" x14ac:dyDescent="0.25">
      <c r="A33" s="51" t="s">
        <v>55</v>
      </c>
      <c r="B33" s="93" t="s">
        <v>16</v>
      </c>
      <c r="C33" s="174">
        <f>SUM(D33:X33)</f>
        <v>5</v>
      </c>
      <c r="D33" s="82">
        <v>0</v>
      </c>
      <c r="E33" s="31">
        <v>0</v>
      </c>
      <c r="F33" s="31">
        <v>0</v>
      </c>
      <c r="G33" s="105">
        <v>0</v>
      </c>
      <c r="H33" s="107">
        <v>0</v>
      </c>
      <c r="I33" s="107">
        <v>0</v>
      </c>
      <c r="J33" s="270">
        <v>0</v>
      </c>
      <c r="K33" s="107">
        <v>0</v>
      </c>
      <c r="L33" s="107">
        <v>0</v>
      </c>
      <c r="M33" s="107">
        <v>0</v>
      </c>
      <c r="N33" s="89">
        <v>0</v>
      </c>
      <c r="O33" s="89">
        <v>0</v>
      </c>
      <c r="P33" s="97">
        <v>5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89">
        <v>0</v>
      </c>
    </row>
    <row r="34" spans="1:24" s="5" customFormat="1" ht="15.75" x14ac:dyDescent="0.25">
      <c r="A34" s="51" t="s">
        <v>56</v>
      </c>
      <c r="B34" s="93" t="s">
        <v>18</v>
      </c>
      <c r="C34" s="174">
        <f>SUM(D34:X34)</f>
        <v>0</v>
      </c>
      <c r="D34" s="82">
        <v>0</v>
      </c>
      <c r="E34" s="31">
        <v>0</v>
      </c>
      <c r="F34" s="31">
        <v>0</v>
      </c>
      <c r="G34" s="105">
        <v>0</v>
      </c>
      <c r="H34" s="107">
        <v>0</v>
      </c>
      <c r="I34" s="107">
        <v>0</v>
      </c>
      <c r="J34" s="270">
        <v>0</v>
      </c>
      <c r="K34" s="107">
        <v>0</v>
      </c>
      <c r="L34" s="107">
        <v>0</v>
      </c>
      <c r="M34" s="107">
        <v>0</v>
      </c>
      <c r="N34" s="89">
        <v>0</v>
      </c>
      <c r="O34" s="89">
        <v>0</v>
      </c>
      <c r="P34" s="97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89">
        <v>0</v>
      </c>
    </row>
    <row r="35" spans="1:24" s="109" customFormat="1" ht="15.75" x14ac:dyDescent="0.25">
      <c r="A35" s="103" t="s">
        <v>57</v>
      </c>
      <c r="B35" s="110" t="s">
        <v>20</v>
      </c>
      <c r="C35" s="175">
        <f>SUM(D35:X35)</f>
        <v>6</v>
      </c>
      <c r="D35" s="105">
        <v>0</v>
      </c>
      <c r="E35" s="106">
        <v>0</v>
      </c>
      <c r="F35" s="106">
        <v>0</v>
      </c>
      <c r="G35" s="105">
        <v>3</v>
      </c>
      <c r="H35" s="107">
        <v>0</v>
      </c>
      <c r="I35" s="107">
        <v>0</v>
      </c>
      <c r="J35" s="270">
        <v>1</v>
      </c>
      <c r="K35" s="107">
        <v>0</v>
      </c>
      <c r="L35" s="107">
        <v>2</v>
      </c>
      <c r="M35" s="107">
        <v>0</v>
      </c>
      <c r="N35" s="237">
        <v>0</v>
      </c>
      <c r="O35" s="237">
        <v>0</v>
      </c>
      <c r="P35" s="192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7">
        <v>0</v>
      </c>
      <c r="X35" s="237">
        <v>0</v>
      </c>
    </row>
    <row r="36" spans="1:24" s="5" customFormat="1" ht="17.25" thickBot="1" x14ac:dyDescent="0.35">
      <c r="A36" s="51" t="s">
        <v>73</v>
      </c>
      <c r="B36" s="62" t="s">
        <v>3</v>
      </c>
      <c r="C36" s="240">
        <f>SUM(C31:C35)</f>
        <v>18</v>
      </c>
      <c r="D36" s="84">
        <f t="shared" ref="D36:U36" si="39">SUM(D31:D35)</f>
        <v>0</v>
      </c>
      <c r="E36" s="33">
        <f t="shared" si="39"/>
        <v>0</v>
      </c>
      <c r="F36" s="33">
        <f t="shared" ref="F36" si="40">SUM(F31:F35)</f>
        <v>0</v>
      </c>
      <c r="G36" s="216">
        <f t="shared" si="39"/>
        <v>4</v>
      </c>
      <c r="H36" s="211">
        <f t="shared" si="39"/>
        <v>1</v>
      </c>
      <c r="I36" s="211">
        <f t="shared" si="39"/>
        <v>0</v>
      </c>
      <c r="J36" s="228">
        <f t="shared" si="39"/>
        <v>1</v>
      </c>
      <c r="K36" s="211">
        <f t="shared" si="39"/>
        <v>0</v>
      </c>
      <c r="L36" s="211">
        <f t="shared" ref="L36" si="41">SUM(L31:L35)</f>
        <v>2</v>
      </c>
      <c r="M36" s="211">
        <f t="shared" si="39"/>
        <v>0</v>
      </c>
      <c r="N36" s="214">
        <v>0</v>
      </c>
      <c r="O36" s="214">
        <f t="shared" ref="O36" si="42">SUM(O31:O35)</f>
        <v>0</v>
      </c>
      <c r="P36" s="202">
        <f>SUM(P31:P35)</f>
        <v>10</v>
      </c>
      <c r="Q36" s="21">
        <f t="shared" ref="Q36" si="43">SUM(Q31:Q35)</f>
        <v>0</v>
      </c>
      <c r="R36" s="21">
        <f t="shared" ref="R36:S36" si="44">SUM(R31:R35)</f>
        <v>0</v>
      </c>
      <c r="S36" s="21">
        <f t="shared" si="44"/>
        <v>0</v>
      </c>
      <c r="T36" s="21">
        <f t="shared" si="39"/>
        <v>0</v>
      </c>
      <c r="U36" s="21">
        <f t="shared" si="39"/>
        <v>0</v>
      </c>
      <c r="V36" s="21">
        <f t="shared" ref="V36" si="45">SUM(V31:V35)</f>
        <v>0</v>
      </c>
      <c r="W36" s="21">
        <f t="shared" ref="W36:X36" si="46">SUM(W31:W35)</f>
        <v>0</v>
      </c>
      <c r="X36" s="214">
        <f t="shared" si="46"/>
        <v>0</v>
      </c>
    </row>
    <row r="37" spans="1:24" s="5" customFormat="1" ht="17.25" thickBot="1" x14ac:dyDescent="0.3">
      <c r="A37" s="32" t="s">
        <v>45</v>
      </c>
      <c r="B37" s="59" t="s">
        <v>11</v>
      </c>
      <c r="C37" s="173"/>
      <c r="D37" s="83"/>
      <c r="E37" s="30"/>
      <c r="F37" s="30"/>
      <c r="G37" s="83"/>
      <c r="H37" s="29"/>
      <c r="I37" s="29"/>
      <c r="J37" s="29"/>
      <c r="K37" s="203"/>
      <c r="L37" s="203"/>
      <c r="M37" s="203"/>
      <c r="N37" s="30"/>
      <c r="O37" s="30"/>
      <c r="P37" s="83"/>
      <c r="Q37" s="203"/>
      <c r="R37" s="203"/>
      <c r="S37" s="203"/>
      <c r="T37" s="203"/>
      <c r="U37" s="203"/>
      <c r="V37" s="203"/>
      <c r="W37" s="203"/>
      <c r="X37" s="30"/>
    </row>
    <row r="38" spans="1:24" s="5" customFormat="1" ht="15.75" x14ac:dyDescent="0.25">
      <c r="A38" s="51" t="s">
        <v>58</v>
      </c>
      <c r="B38" s="61" t="s">
        <v>14</v>
      </c>
      <c r="C38" s="148">
        <f>SUM(D38:X38)</f>
        <v>6660</v>
      </c>
      <c r="D38" s="82">
        <v>0</v>
      </c>
      <c r="E38" s="106">
        <v>0</v>
      </c>
      <c r="F38" s="106">
        <v>0</v>
      </c>
      <c r="G38" s="86">
        <v>1274</v>
      </c>
      <c r="H38" s="105">
        <v>0</v>
      </c>
      <c r="I38" s="10">
        <v>0</v>
      </c>
      <c r="J38" s="81">
        <v>0</v>
      </c>
      <c r="K38" s="10">
        <v>0</v>
      </c>
      <c r="L38" s="10">
        <v>0</v>
      </c>
      <c r="M38" s="10">
        <v>0</v>
      </c>
      <c r="N38" s="89">
        <v>0</v>
      </c>
      <c r="O38" s="89">
        <v>0</v>
      </c>
      <c r="P38" s="97">
        <v>5386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89">
        <v>0</v>
      </c>
    </row>
    <row r="39" spans="1:24" s="5" customFormat="1" ht="15.75" x14ac:dyDescent="0.25">
      <c r="A39" s="51" t="s">
        <v>59</v>
      </c>
      <c r="B39" s="61" t="s">
        <v>15</v>
      </c>
      <c r="C39" s="148">
        <f>SUM(D39:X39)</f>
        <v>1737</v>
      </c>
      <c r="D39" s="82">
        <v>0</v>
      </c>
      <c r="E39" s="106">
        <v>0</v>
      </c>
      <c r="F39" s="106">
        <v>0</v>
      </c>
      <c r="G39" s="86">
        <v>0</v>
      </c>
      <c r="H39" s="86">
        <v>1737</v>
      </c>
      <c r="I39" s="10">
        <v>0</v>
      </c>
      <c r="J39" s="81">
        <v>0</v>
      </c>
      <c r="K39" s="10">
        <v>0</v>
      </c>
      <c r="L39" s="10">
        <v>0</v>
      </c>
      <c r="M39" s="10">
        <v>0</v>
      </c>
      <c r="N39" s="89">
        <v>0</v>
      </c>
      <c r="O39" s="89">
        <v>0</v>
      </c>
      <c r="P39" s="97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89">
        <v>0</v>
      </c>
    </row>
    <row r="40" spans="1:24" s="5" customFormat="1" ht="15.75" x14ac:dyDescent="0.25">
      <c r="A40" s="51" t="s">
        <v>60</v>
      </c>
      <c r="B40" s="61" t="s">
        <v>16</v>
      </c>
      <c r="C40" s="148">
        <f>SUM(D40:X40)</f>
        <v>7193</v>
      </c>
      <c r="D40" s="82">
        <v>0</v>
      </c>
      <c r="E40" s="106">
        <v>0</v>
      </c>
      <c r="F40" s="106">
        <v>0</v>
      </c>
      <c r="G40" s="86">
        <v>0</v>
      </c>
      <c r="H40" s="105">
        <v>0</v>
      </c>
      <c r="I40" s="10">
        <v>0</v>
      </c>
      <c r="J40" s="81">
        <v>0</v>
      </c>
      <c r="K40" s="10">
        <v>0</v>
      </c>
      <c r="L40" s="10">
        <v>0</v>
      </c>
      <c r="M40" s="10">
        <v>0</v>
      </c>
      <c r="N40" s="89">
        <v>0</v>
      </c>
      <c r="O40" s="89">
        <v>0</v>
      </c>
      <c r="P40" s="97">
        <v>7193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89">
        <v>0</v>
      </c>
    </row>
    <row r="41" spans="1:24" s="5" customFormat="1" ht="15.75" x14ac:dyDescent="0.25">
      <c r="A41" s="51" t="s">
        <v>61</v>
      </c>
      <c r="B41" s="61" t="s">
        <v>18</v>
      </c>
      <c r="C41" s="148">
        <f>SUM(D41:X41)</f>
        <v>0</v>
      </c>
      <c r="D41" s="82">
        <v>0</v>
      </c>
      <c r="E41" s="106">
        <v>0</v>
      </c>
      <c r="F41" s="106">
        <v>0</v>
      </c>
      <c r="G41" s="82">
        <v>0</v>
      </c>
      <c r="H41" s="86">
        <v>0</v>
      </c>
      <c r="I41" s="10">
        <v>0</v>
      </c>
      <c r="J41" s="81">
        <v>0</v>
      </c>
      <c r="K41" s="10">
        <v>0</v>
      </c>
      <c r="L41" s="10">
        <v>0</v>
      </c>
      <c r="M41" s="10">
        <v>0</v>
      </c>
      <c r="N41" s="89">
        <v>0</v>
      </c>
      <c r="O41" s="89">
        <v>0</v>
      </c>
      <c r="P41" s="97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89">
        <v>0</v>
      </c>
    </row>
    <row r="42" spans="1:24" s="109" customFormat="1" ht="15.75" x14ac:dyDescent="0.25">
      <c r="A42" s="103" t="s">
        <v>62</v>
      </c>
      <c r="B42" s="104" t="s">
        <v>20</v>
      </c>
      <c r="C42" s="169">
        <f>SUM(D42:X42)</f>
        <v>41275</v>
      </c>
      <c r="D42" s="105">
        <v>0</v>
      </c>
      <c r="E42" s="106">
        <v>0</v>
      </c>
      <c r="F42" s="106">
        <v>0</v>
      </c>
      <c r="G42" s="105">
        <f>1628+20039</f>
        <v>21667</v>
      </c>
      <c r="H42" s="105">
        <v>0</v>
      </c>
      <c r="I42" s="107">
        <v>0</v>
      </c>
      <c r="J42" s="270">
        <v>5093</v>
      </c>
      <c r="K42" s="107">
        <v>0</v>
      </c>
      <c r="L42" s="107">
        <v>14515</v>
      </c>
      <c r="M42" s="107">
        <v>0</v>
      </c>
      <c r="N42" s="237">
        <v>0</v>
      </c>
      <c r="O42" s="237">
        <v>0</v>
      </c>
      <c r="P42" s="192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7">
        <v>0</v>
      </c>
      <c r="X42" s="237">
        <v>0</v>
      </c>
    </row>
    <row r="43" spans="1:24" s="5" customFormat="1" ht="17.25" thickBot="1" x14ac:dyDescent="0.35">
      <c r="A43" s="51" t="s">
        <v>74</v>
      </c>
      <c r="B43" s="62" t="s">
        <v>3</v>
      </c>
      <c r="C43" s="176">
        <f t="shared" ref="C43:U43" si="47">SUM(C38:C42)</f>
        <v>56865</v>
      </c>
      <c r="D43" s="84">
        <f t="shared" si="47"/>
        <v>0</v>
      </c>
      <c r="E43" s="33">
        <f t="shared" si="47"/>
        <v>0</v>
      </c>
      <c r="F43" s="33">
        <f t="shared" ref="F43" si="48">SUM(F38:F42)</f>
        <v>0</v>
      </c>
      <c r="G43" s="84">
        <f t="shared" si="47"/>
        <v>22941</v>
      </c>
      <c r="H43" s="21">
        <f t="shared" si="47"/>
        <v>1737</v>
      </c>
      <c r="I43" s="21">
        <f t="shared" si="47"/>
        <v>0</v>
      </c>
      <c r="J43" s="272">
        <f t="shared" si="47"/>
        <v>5093</v>
      </c>
      <c r="K43" s="21">
        <f t="shared" si="47"/>
        <v>0</v>
      </c>
      <c r="L43" s="21">
        <f t="shared" ref="L43" si="49">SUM(L38:L42)</f>
        <v>14515</v>
      </c>
      <c r="M43" s="21">
        <f t="shared" si="47"/>
        <v>0</v>
      </c>
      <c r="N43" s="214">
        <f t="shared" si="47"/>
        <v>0</v>
      </c>
      <c r="O43" s="214">
        <f t="shared" ref="O43" si="50">SUM(O38:O42)</f>
        <v>0</v>
      </c>
      <c r="P43" s="202">
        <f t="shared" si="47"/>
        <v>12579</v>
      </c>
      <c r="Q43" s="21">
        <f t="shared" si="47"/>
        <v>0</v>
      </c>
      <c r="R43" s="21">
        <f t="shared" ref="R43:S43" si="51">SUM(R38:R42)</f>
        <v>0</v>
      </c>
      <c r="S43" s="21">
        <f t="shared" si="51"/>
        <v>0</v>
      </c>
      <c r="T43" s="21">
        <f t="shared" si="47"/>
        <v>0</v>
      </c>
      <c r="U43" s="21">
        <f t="shared" si="47"/>
        <v>0</v>
      </c>
      <c r="V43" s="21">
        <f t="shared" ref="V43" si="52">SUM(V38:V42)</f>
        <v>0</v>
      </c>
      <c r="W43" s="21">
        <f t="shared" ref="W43:X43" si="53">SUM(W38:W42)</f>
        <v>0</v>
      </c>
      <c r="X43" s="214">
        <f t="shared" si="53"/>
        <v>0</v>
      </c>
    </row>
    <row r="44" spans="1:24" s="5" customFormat="1" ht="17.25" thickBot="1" x14ac:dyDescent="0.3">
      <c r="A44" s="32" t="s">
        <v>46</v>
      </c>
      <c r="B44" s="59" t="s">
        <v>32</v>
      </c>
      <c r="C44" s="173"/>
      <c r="D44" s="83"/>
      <c r="E44" s="30"/>
      <c r="F44" s="30"/>
      <c r="G44" s="83"/>
      <c r="H44" s="29"/>
      <c r="I44" s="29"/>
      <c r="J44" s="29"/>
      <c r="K44" s="203"/>
      <c r="L44" s="203"/>
      <c r="M44" s="203"/>
      <c r="N44" s="30"/>
      <c r="O44" s="30"/>
      <c r="P44" s="83"/>
      <c r="Q44" s="203"/>
      <c r="R44" s="203"/>
      <c r="S44" s="203"/>
      <c r="T44" s="203"/>
      <c r="U44" s="203"/>
      <c r="V44" s="203"/>
      <c r="W44" s="203"/>
      <c r="X44" s="30"/>
    </row>
    <row r="45" spans="1:24" s="5" customFormat="1" ht="15.75" x14ac:dyDescent="0.25">
      <c r="A45" s="51" t="s">
        <v>63</v>
      </c>
      <c r="B45" s="61" t="s">
        <v>14</v>
      </c>
      <c r="C45" s="148">
        <f>SUM(D45:X45)</f>
        <v>32550</v>
      </c>
      <c r="D45" s="82">
        <v>0</v>
      </c>
      <c r="E45" s="106">
        <v>0</v>
      </c>
      <c r="F45" s="106">
        <v>0</v>
      </c>
      <c r="G45" s="86">
        <v>8046</v>
      </c>
      <c r="H45" s="86">
        <v>0</v>
      </c>
      <c r="I45" s="10">
        <v>0</v>
      </c>
      <c r="J45" s="81">
        <v>0</v>
      </c>
      <c r="K45" s="10">
        <v>0</v>
      </c>
      <c r="L45" s="10">
        <v>0</v>
      </c>
      <c r="M45" s="10">
        <v>0</v>
      </c>
      <c r="N45" s="89">
        <v>0</v>
      </c>
      <c r="O45" s="89">
        <v>0</v>
      </c>
      <c r="P45" s="97">
        <v>24504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89">
        <v>0</v>
      </c>
    </row>
    <row r="46" spans="1:24" s="5" customFormat="1" ht="15.75" x14ac:dyDescent="0.25">
      <c r="A46" s="51" t="s">
        <v>64</v>
      </c>
      <c r="B46" s="61" t="s">
        <v>15</v>
      </c>
      <c r="C46" s="148">
        <f>SUM(D46:X46)</f>
        <v>7347</v>
      </c>
      <c r="D46" s="82">
        <v>0</v>
      </c>
      <c r="E46" s="106">
        <v>0</v>
      </c>
      <c r="F46" s="106">
        <v>0</v>
      </c>
      <c r="G46" s="86">
        <v>0</v>
      </c>
      <c r="H46" s="86">
        <v>7347</v>
      </c>
      <c r="I46" s="10">
        <v>0</v>
      </c>
      <c r="J46" s="81">
        <v>0</v>
      </c>
      <c r="K46" s="10">
        <v>0</v>
      </c>
      <c r="L46" s="10">
        <v>0</v>
      </c>
      <c r="M46" s="10">
        <v>0</v>
      </c>
      <c r="N46" s="89">
        <v>0</v>
      </c>
      <c r="O46" s="89">
        <v>0</v>
      </c>
      <c r="P46" s="97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89">
        <v>0</v>
      </c>
    </row>
    <row r="47" spans="1:24" s="5" customFormat="1" ht="15.75" x14ac:dyDescent="0.25">
      <c r="A47" s="51" t="s">
        <v>65</v>
      </c>
      <c r="B47" s="61" t="s">
        <v>16</v>
      </c>
      <c r="C47" s="148">
        <f>SUM(D47:X47)</f>
        <v>7193</v>
      </c>
      <c r="D47" s="82">
        <v>0</v>
      </c>
      <c r="E47" s="106">
        <v>0</v>
      </c>
      <c r="F47" s="106">
        <v>0</v>
      </c>
      <c r="G47" s="86">
        <v>0</v>
      </c>
      <c r="H47" s="86">
        <v>0</v>
      </c>
      <c r="I47" s="10">
        <v>0</v>
      </c>
      <c r="J47" s="81">
        <v>0</v>
      </c>
      <c r="K47" s="10">
        <v>0</v>
      </c>
      <c r="L47" s="10">
        <v>0</v>
      </c>
      <c r="M47" s="10">
        <v>0</v>
      </c>
      <c r="N47" s="89">
        <v>0</v>
      </c>
      <c r="O47" s="89">
        <v>0</v>
      </c>
      <c r="P47" s="97">
        <v>7193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89">
        <v>0</v>
      </c>
    </row>
    <row r="48" spans="1:24" s="5" customFormat="1" ht="15.75" x14ac:dyDescent="0.25">
      <c r="A48" s="51" t="s">
        <v>66</v>
      </c>
      <c r="B48" s="61" t="s">
        <v>18</v>
      </c>
      <c r="C48" s="148">
        <f>SUM(D48:X48)</f>
        <v>0</v>
      </c>
      <c r="D48" s="82">
        <v>0</v>
      </c>
      <c r="E48" s="106">
        <v>0</v>
      </c>
      <c r="F48" s="106">
        <v>0</v>
      </c>
      <c r="G48" s="82">
        <v>0</v>
      </c>
      <c r="H48" s="86">
        <v>0</v>
      </c>
      <c r="I48" s="10">
        <v>0</v>
      </c>
      <c r="J48" s="81">
        <v>0</v>
      </c>
      <c r="K48" s="10">
        <v>0</v>
      </c>
      <c r="L48" s="10">
        <v>0</v>
      </c>
      <c r="M48" s="10">
        <v>0</v>
      </c>
      <c r="N48" s="89">
        <v>0</v>
      </c>
      <c r="O48" s="89">
        <v>0</v>
      </c>
      <c r="P48" s="97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89">
        <v>0</v>
      </c>
    </row>
    <row r="49" spans="1:24" s="109" customFormat="1" ht="15.75" x14ac:dyDescent="0.25">
      <c r="A49" s="103" t="s">
        <v>67</v>
      </c>
      <c r="B49" s="104" t="s">
        <v>20</v>
      </c>
      <c r="C49" s="169">
        <f>SUM(D49:X49)</f>
        <v>41275</v>
      </c>
      <c r="D49" s="105">
        <v>0</v>
      </c>
      <c r="E49" s="106">
        <v>0</v>
      </c>
      <c r="F49" s="106">
        <v>0</v>
      </c>
      <c r="G49" s="105">
        <f>1628+20039</f>
        <v>21667</v>
      </c>
      <c r="H49" s="105">
        <v>0</v>
      </c>
      <c r="I49" s="107">
        <v>0</v>
      </c>
      <c r="J49" s="270">
        <v>5093</v>
      </c>
      <c r="K49" s="107">
        <v>0</v>
      </c>
      <c r="L49" s="107">
        <v>14515</v>
      </c>
      <c r="M49" s="107">
        <v>0</v>
      </c>
      <c r="N49" s="237">
        <v>0</v>
      </c>
      <c r="O49" s="237">
        <v>0</v>
      </c>
      <c r="P49" s="192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7">
        <v>0</v>
      </c>
      <c r="X49" s="237">
        <v>0</v>
      </c>
    </row>
    <row r="50" spans="1:24" s="5" customFormat="1" ht="17.25" thickBot="1" x14ac:dyDescent="0.35">
      <c r="A50" s="51" t="s">
        <v>75</v>
      </c>
      <c r="B50" s="62" t="s">
        <v>3</v>
      </c>
      <c r="C50" s="240">
        <f>SUM(C45:C49)</f>
        <v>88365</v>
      </c>
      <c r="D50" s="84">
        <f t="shared" ref="D50:U50" si="54">SUM(D45:D49)</f>
        <v>0</v>
      </c>
      <c r="E50" s="33">
        <f>SUM(E45:E49)</f>
        <v>0</v>
      </c>
      <c r="F50" s="33">
        <f>SUM(F45:F49)</f>
        <v>0</v>
      </c>
      <c r="G50" s="84">
        <f t="shared" si="54"/>
        <v>29713</v>
      </c>
      <c r="H50" s="21">
        <f t="shared" si="54"/>
        <v>7347</v>
      </c>
      <c r="I50" s="21">
        <f t="shared" si="54"/>
        <v>0</v>
      </c>
      <c r="J50" s="272">
        <f t="shared" si="54"/>
        <v>5093</v>
      </c>
      <c r="K50" s="21">
        <f t="shared" si="54"/>
        <v>0</v>
      </c>
      <c r="L50" s="21">
        <f t="shared" ref="L50" si="55">SUM(L45:L49)</f>
        <v>14515</v>
      </c>
      <c r="M50" s="21">
        <f t="shared" si="54"/>
        <v>0</v>
      </c>
      <c r="N50" s="214">
        <f t="shared" si="54"/>
        <v>0</v>
      </c>
      <c r="O50" s="214">
        <f t="shared" ref="O50" si="56">SUM(O45:O49)</f>
        <v>0</v>
      </c>
      <c r="P50" s="202">
        <f t="shared" si="54"/>
        <v>31697</v>
      </c>
      <c r="Q50" s="21">
        <f t="shared" si="54"/>
        <v>0</v>
      </c>
      <c r="R50" s="21">
        <f t="shared" ref="R50:S50" si="57">SUM(R45:R49)</f>
        <v>0</v>
      </c>
      <c r="S50" s="21">
        <f t="shared" si="57"/>
        <v>0</v>
      </c>
      <c r="T50" s="21">
        <f t="shared" si="54"/>
        <v>0</v>
      </c>
      <c r="U50" s="21">
        <f t="shared" si="54"/>
        <v>0</v>
      </c>
      <c r="V50" s="21">
        <f t="shared" ref="V50" si="58">SUM(V45:V49)</f>
        <v>0</v>
      </c>
      <c r="W50" s="21">
        <f t="shared" ref="W50:X50" si="59">SUM(W45:W49)</f>
        <v>0</v>
      </c>
      <c r="X50" s="214">
        <f t="shared" si="59"/>
        <v>0</v>
      </c>
    </row>
    <row r="51" spans="1:24" s="5" customFormat="1" ht="17.25" thickBot="1" x14ac:dyDescent="0.3">
      <c r="A51" s="32" t="s">
        <v>47</v>
      </c>
      <c r="B51" s="59" t="s">
        <v>33</v>
      </c>
      <c r="C51" s="173"/>
      <c r="D51" s="83"/>
      <c r="E51" s="30"/>
      <c r="F51" s="30"/>
      <c r="G51" s="83"/>
      <c r="H51" s="29"/>
      <c r="I51" s="29"/>
      <c r="J51" s="29"/>
      <c r="K51" s="203"/>
      <c r="L51" s="203"/>
      <c r="M51" s="203"/>
      <c r="N51" s="30"/>
      <c r="O51" s="30"/>
      <c r="P51" s="83"/>
      <c r="Q51" s="203"/>
      <c r="R51" s="203"/>
      <c r="S51" s="203"/>
      <c r="T51" s="203"/>
      <c r="U51" s="203"/>
      <c r="V51" s="203"/>
      <c r="W51" s="203"/>
      <c r="X51" s="30"/>
    </row>
    <row r="52" spans="1:24" s="5" customFormat="1" ht="15.75" x14ac:dyDescent="0.25">
      <c r="A52" s="51" t="s">
        <v>68</v>
      </c>
      <c r="B52" s="61" t="s">
        <v>14</v>
      </c>
      <c r="C52" s="177">
        <f>C45/C$14%</f>
        <v>1.9352808664203091E-2</v>
      </c>
      <c r="D52" s="177">
        <f>D45/D$14%</f>
        <v>0</v>
      </c>
      <c r="E52" s="177">
        <f t="shared" ref="E52:U52" si="60">E45/E$14%</f>
        <v>0</v>
      </c>
      <c r="F52" s="177">
        <f t="shared" ref="F52" si="61">F45/F$14%</f>
        <v>0</v>
      </c>
      <c r="G52" s="177">
        <f t="shared" si="60"/>
        <v>0.11220641517796068</v>
      </c>
      <c r="H52" s="177">
        <f t="shared" si="60"/>
        <v>0</v>
      </c>
      <c r="I52" s="177">
        <f t="shared" ref="I52:J55" si="62">I38/I$14%</f>
        <v>0</v>
      </c>
      <c r="J52" s="177">
        <f t="shared" si="62"/>
        <v>0</v>
      </c>
      <c r="K52" s="205">
        <f t="shared" si="60"/>
        <v>0</v>
      </c>
      <c r="L52" s="205">
        <f t="shared" ref="L52" si="63">L45/L$14%</f>
        <v>0</v>
      </c>
      <c r="M52" s="205">
        <f t="shared" si="60"/>
        <v>0</v>
      </c>
      <c r="N52" s="238">
        <f t="shared" si="60"/>
        <v>0</v>
      </c>
      <c r="O52" s="238">
        <f t="shared" ref="O52" si="64">O45/O$14%</f>
        <v>0</v>
      </c>
      <c r="P52" s="177">
        <f t="shared" si="60"/>
        <v>0.31193963463955721</v>
      </c>
      <c r="Q52" s="205">
        <f t="shared" si="60"/>
        <v>0</v>
      </c>
      <c r="R52" s="205">
        <f t="shared" ref="R52:S52" si="65">R45/R$14%</f>
        <v>0</v>
      </c>
      <c r="S52" s="205">
        <f t="shared" si="65"/>
        <v>0</v>
      </c>
      <c r="T52" s="205">
        <f t="shared" si="60"/>
        <v>0</v>
      </c>
      <c r="U52" s="205">
        <f t="shared" si="60"/>
        <v>0</v>
      </c>
      <c r="V52" s="205">
        <f t="shared" ref="V52" si="66">V45/V$14%</f>
        <v>0</v>
      </c>
      <c r="W52" s="205">
        <f t="shared" ref="W52:X52" si="67">W45/W$14%</f>
        <v>0</v>
      </c>
      <c r="X52" s="238">
        <f t="shared" si="67"/>
        <v>0</v>
      </c>
    </row>
    <row r="53" spans="1:24" s="5" customFormat="1" ht="15.75" x14ac:dyDescent="0.25">
      <c r="A53" s="51" t="s">
        <v>69</v>
      </c>
      <c r="B53" s="61" t="s">
        <v>15</v>
      </c>
      <c r="C53" s="177">
        <f>C46/C$14%</f>
        <v>4.3682053842058408E-3</v>
      </c>
      <c r="D53" s="177">
        <f t="shared" ref="D53:U53" si="68">D46/D$14%</f>
        <v>0</v>
      </c>
      <c r="E53" s="177">
        <f t="shared" si="68"/>
        <v>0</v>
      </c>
      <c r="F53" s="177">
        <f t="shared" ref="F53" si="69">F46/F$14%</f>
        <v>0</v>
      </c>
      <c r="G53" s="177">
        <f t="shared" si="68"/>
        <v>0</v>
      </c>
      <c r="H53" s="177">
        <f t="shared" si="68"/>
        <v>0.15811077955264141</v>
      </c>
      <c r="I53" s="177">
        <f t="shared" si="62"/>
        <v>0</v>
      </c>
      <c r="J53" s="177">
        <f t="shared" si="62"/>
        <v>0</v>
      </c>
      <c r="K53" s="205">
        <f t="shared" si="68"/>
        <v>0</v>
      </c>
      <c r="L53" s="205">
        <f t="shared" ref="L53" si="70">L46/L$14%</f>
        <v>0</v>
      </c>
      <c r="M53" s="205">
        <f t="shared" si="68"/>
        <v>0</v>
      </c>
      <c r="N53" s="238">
        <f t="shared" si="68"/>
        <v>0</v>
      </c>
      <c r="O53" s="238">
        <f t="shared" ref="O53" si="71">O46/O$14%</f>
        <v>0</v>
      </c>
      <c r="P53" s="177">
        <f t="shared" si="68"/>
        <v>0</v>
      </c>
      <c r="Q53" s="205">
        <f t="shared" si="68"/>
        <v>0</v>
      </c>
      <c r="R53" s="205">
        <f t="shared" ref="R53:S53" si="72">R46/R$14%</f>
        <v>0</v>
      </c>
      <c r="S53" s="205">
        <f t="shared" si="72"/>
        <v>0</v>
      </c>
      <c r="T53" s="205">
        <f t="shared" si="68"/>
        <v>0</v>
      </c>
      <c r="U53" s="205">
        <f t="shared" si="68"/>
        <v>0</v>
      </c>
      <c r="V53" s="205">
        <f t="shared" ref="V53" si="73">V46/V$14%</f>
        <v>0</v>
      </c>
      <c r="W53" s="205">
        <f t="shared" ref="W53:X53" si="74">W46/W$14%</f>
        <v>0</v>
      </c>
      <c r="X53" s="238">
        <f t="shared" si="74"/>
        <v>0</v>
      </c>
    </row>
    <row r="54" spans="1:24" s="5" customFormat="1" ht="15.75" x14ac:dyDescent="0.25">
      <c r="A54" s="51" t="s">
        <v>70</v>
      </c>
      <c r="B54" s="61" t="s">
        <v>16</v>
      </c>
      <c r="C54" s="177">
        <f>C47/C$14%</f>
        <v>4.2766437088053097E-3</v>
      </c>
      <c r="D54" s="177">
        <f t="shared" ref="D54:U54" si="75">D47/D$14%</f>
        <v>0</v>
      </c>
      <c r="E54" s="177">
        <f t="shared" si="75"/>
        <v>0</v>
      </c>
      <c r="F54" s="177">
        <f t="shared" ref="F54" si="76">F47/F$14%</f>
        <v>0</v>
      </c>
      <c r="G54" s="177">
        <f t="shared" si="75"/>
        <v>0</v>
      </c>
      <c r="H54" s="177">
        <f>H40/H$14%</f>
        <v>0</v>
      </c>
      <c r="I54" s="177">
        <f t="shared" si="62"/>
        <v>0</v>
      </c>
      <c r="J54" s="177">
        <f t="shared" si="62"/>
        <v>0</v>
      </c>
      <c r="K54" s="205">
        <f t="shared" si="75"/>
        <v>0</v>
      </c>
      <c r="L54" s="205">
        <f t="shared" ref="L54" si="77">L47/L$14%</f>
        <v>0</v>
      </c>
      <c r="M54" s="205">
        <f t="shared" si="75"/>
        <v>0</v>
      </c>
      <c r="N54" s="238">
        <f t="shared" si="75"/>
        <v>0</v>
      </c>
      <c r="O54" s="238">
        <f t="shared" ref="O54" si="78">O47/O$14%</f>
        <v>0</v>
      </c>
      <c r="P54" s="177">
        <f t="shared" si="75"/>
        <v>9.1567980409824307E-2</v>
      </c>
      <c r="Q54" s="205">
        <f t="shared" si="75"/>
        <v>0</v>
      </c>
      <c r="R54" s="205">
        <f t="shared" ref="R54:S54" si="79">R47/R$14%</f>
        <v>0</v>
      </c>
      <c r="S54" s="205">
        <f t="shared" si="79"/>
        <v>0</v>
      </c>
      <c r="T54" s="205">
        <f t="shared" si="75"/>
        <v>0</v>
      </c>
      <c r="U54" s="205">
        <f t="shared" si="75"/>
        <v>0</v>
      </c>
      <c r="V54" s="205">
        <f t="shared" ref="V54" si="80">V47/V$14%</f>
        <v>0</v>
      </c>
      <c r="W54" s="205">
        <f t="shared" ref="W54:X54" si="81">W47/W$14%</f>
        <v>0</v>
      </c>
      <c r="X54" s="238">
        <f t="shared" si="81"/>
        <v>0</v>
      </c>
    </row>
    <row r="55" spans="1:24" s="5" customFormat="1" ht="15.75" x14ac:dyDescent="0.25">
      <c r="A55" s="51" t="s">
        <v>71</v>
      </c>
      <c r="B55" s="61" t="s">
        <v>18</v>
      </c>
      <c r="C55" s="177">
        <f>C48/C$14%</f>
        <v>0</v>
      </c>
      <c r="D55" s="177">
        <f t="shared" ref="D55:U55" si="82">D48/D$14%</f>
        <v>0</v>
      </c>
      <c r="E55" s="177">
        <f t="shared" si="82"/>
        <v>0</v>
      </c>
      <c r="F55" s="177">
        <f t="shared" ref="F55" si="83">F48/F$14%</f>
        <v>0</v>
      </c>
      <c r="G55" s="177">
        <f t="shared" si="82"/>
        <v>0</v>
      </c>
      <c r="H55" s="177">
        <f t="shared" si="82"/>
        <v>0</v>
      </c>
      <c r="I55" s="177">
        <f t="shared" si="62"/>
        <v>0</v>
      </c>
      <c r="J55" s="177">
        <f t="shared" si="62"/>
        <v>0</v>
      </c>
      <c r="K55" s="205">
        <f t="shared" si="82"/>
        <v>0</v>
      </c>
      <c r="L55" s="205">
        <f t="shared" ref="L55" si="84">L48/L$14%</f>
        <v>0</v>
      </c>
      <c r="M55" s="205">
        <f t="shared" si="82"/>
        <v>0</v>
      </c>
      <c r="N55" s="238">
        <f t="shared" si="82"/>
        <v>0</v>
      </c>
      <c r="O55" s="238">
        <f t="shared" ref="O55" si="85">O48/O$14%</f>
        <v>0</v>
      </c>
      <c r="P55" s="177">
        <f t="shared" si="82"/>
        <v>0</v>
      </c>
      <c r="Q55" s="205">
        <f t="shared" si="82"/>
        <v>0</v>
      </c>
      <c r="R55" s="205">
        <f t="shared" ref="R55:S55" si="86">R48/R$14%</f>
        <v>0</v>
      </c>
      <c r="S55" s="205">
        <f t="shared" si="86"/>
        <v>0</v>
      </c>
      <c r="T55" s="205">
        <f t="shared" si="82"/>
        <v>0</v>
      </c>
      <c r="U55" s="205">
        <f t="shared" si="82"/>
        <v>0</v>
      </c>
      <c r="V55" s="205">
        <f t="shared" ref="V55" si="87">V48/V$14%</f>
        <v>0</v>
      </c>
      <c r="W55" s="205">
        <f t="shared" ref="W55:X55" si="88">W48/W$14%</f>
        <v>0</v>
      </c>
      <c r="X55" s="238">
        <f t="shared" si="88"/>
        <v>0</v>
      </c>
    </row>
    <row r="56" spans="1:24" s="5" customFormat="1" ht="16.5" thickBot="1" x14ac:dyDescent="0.3">
      <c r="A56" s="51" t="s">
        <v>72</v>
      </c>
      <c r="B56" s="63" t="s">
        <v>20</v>
      </c>
      <c r="C56" s="177">
        <f>C49/C$14%</f>
        <v>2.4540312676343552E-2</v>
      </c>
      <c r="D56" s="88">
        <f>(D50-D46-D47-D48)/D14%</f>
        <v>0</v>
      </c>
      <c r="E56" s="172">
        <f>(E50-E46-E47-E48)/E14%</f>
        <v>0</v>
      </c>
      <c r="F56" s="172">
        <f>(F50-F46-F47-F48)/F14%</f>
        <v>0</v>
      </c>
      <c r="G56" s="88">
        <f>(G50-G46-G47-G48)/G14%</f>
        <v>0.4143660470025784</v>
      </c>
      <c r="H56" s="22">
        <f>(H50-H46-H40-H48)/H14%</f>
        <v>0</v>
      </c>
      <c r="I56" s="22">
        <f>(I43-I39-I40-I41)/I14%</f>
        <v>0</v>
      </c>
      <c r="J56" s="171">
        <f>(J43-J39-J40-J41)/J14%</f>
        <v>8.0720650126937299E-2</v>
      </c>
      <c r="K56" s="13">
        <f t="shared" ref="K56:X56" si="89">(K50-K46-K47-K48)/K14%</f>
        <v>0</v>
      </c>
      <c r="L56" s="13">
        <f t="shared" ref="L56" si="90">(L50-L46-L47-L48)/L14%</f>
        <v>0.11560200130439516</v>
      </c>
      <c r="M56" s="13">
        <f t="shared" si="89"/>
        <v>0</v>
      </c>
      <c r="N56" s="172">
        <f t="shared" si="89"/>
        <v>0</v>
      </c>
      <c r="O56" s="172">
        <f t="shared" si="89"/>
        <v>0</v>
      </c>
      <c r="P56" s="201">
        <f t="shared" si="89"/>
        <v>0.31193963463955721</v>
      </c>
      <c r="Q56" s="13">
        <f t="shared" si="89"/>
        <v>0</v>
      </c>
      <c r="R56" s="13">
        <f t="shared" ref="R56:S56" si="91">(R50-R46-R47-R48)/R14%</f>
        <v>0</v>
      </c>
      <c r="S56" s="13">
        <f t="shared" si="91"/>
        <v>0</v>
      </c>
      <c r="T56" s="13">
        <f t="shared" si="89"/>
        <v>0</v>
      </c>
      <c r="U56" s="13">
        <f t="shared" si="89"/>
        <v>0</v>
      </c>
      <c r="V56" s="13">
        <f t="shared" ref="V56" si="92">(V50-V46-V47-V48)/V14%</f>
        <v>0</v>
      </c>
      <c r="W56" s="13">
        <f t="shared" si="89"/>
        <v>0</v>
      </c>
      <c r="X56" s="172">
        <f t="shared" si="89"/>
        <v>0</v>
      </c>
    </row>
    <row r="57" spans="1:24" s="5" customFormat="1" ht="17.25" thickBot="1" x14ac:dyDescent="0.3">
      <c r="A57" s="26">
        <v>6</v>
      </c>
      <c r="B57" s="59" t="s">
        <v>43</v>
      </c>
      <c r="C57" s="173"/>
      <c r="D57" s="83"/>
      <c r="E57" s="30"/>
      <c r="F57" s="30"/>
      <c r="G57" s="83"/>
      <c r="H57" s="29"/>
      <c r="I57" s="29"/>
      <c r="J57" s="29"/>
      <c r="K57" s="203"/>
      <c r="L57" s="203"/>
      <c r="M57" s="203"/>
      <c r="N57" s="30"/>
      <c r="O57" s="30"/>
      <c r="P57" s="83"/>
      <c r="Q57" s="203"/>
      <c r="R57" s="203"/>
      <c r="S57" s="203"/>
      <c r="T57" s="203"/>
      <c r="U57" s="203"/>
      <c r="V57" s="203"/>
      <c r="W57" s="203"/>
      <c r="X57" s="30"/>
    </row>
    <row r="58" spans="1:24" s="5" customFormat="1" ht="15.75" x14ac:dyDescent="0.25">
      <c r="A58" s="50" t="s">
        <v>76</v>
      </c>
      <c r="B58" s="60" t="s">
        <v>35</v>
      </c>
      <c r="C58" s="148">
        <f>SUM(D58:X58)</f>
        <v>16576</v>
      </c>
      <c r="D58" s="247">
        <f>210+232+139+250+146+345+350+89+334+371+412+283-'Managed portfolio-MFL'!D56</f>
        <v>3056</v>
      </c>
      <c r="E58" s="10">
        <f>128+118+77+135+115+100+95+72+88+138+107+188</f>
        <v>1361</v>
      </c>
      <c r="F58" s="10">
        <f>58+231+163+142+130+273+162-'Managed portfolio-MFL'!E56</f>
        <v>644</v>
      </c>
      <c r="G58" s="10">
        <f>85+20+51+78+54+122+63+63+146+119-'Managed portfolio-MFL'!F56</f>
        <v>587</v>
      </c>
      <c r="H58" s="10">
        <f>50+15+29+54+64+109+44+59+80+92+50-'Managed portfolio-MFL'!G56</f>
        <v>405</v>
      </c>
      <c r="I58" s="10">
        <f>48+84+120+100+174+132+121+147+156+98-'Managed portfolio-MFL'!H56</f>
        <v>731</v>
      </c>
      <c r="J58" s="81">
        <f>20+5+50+88+139+108+68+97+27+54+53</f>
        <v>709</v>
      </c>
      <c r="K58" s="10">
        <f>20+222+284+186+219+178+206+505+416-808-'Managed portfolio-MFL'!I56</f>
        <v>1309</v>
      </c>
      <c r="L58" s="107">
        <f>404+404+90</f>
        <v>898</v>
      </c>
      <c r="M58" s="107">
        <f>52+153+125+97+109+101+161+143-'Managed portfolio-MFL'!K56</f>
        <v>586</v>
      </c>
      <c r="N58" s="89">
        <f>40+15+45+55+40+30+25+5+45+62+75+98</f>
        <v>535</v>
      </c>
      <c r="O58" s="89">
        <f>120+210+126+89+96+71+60-'Managed portfolio-MFL'!L56</f>
        <v>574</v>
      </c>
      <c r="P58" s="97">
        <f>38+59+68+137+96+81+85+88+28+74+100-'Managed portfolio-MFL'!M56</f>
        <v>610</v>
      </c>
      <c r="Q58" s="10">
        <f>17+35-'Managed portfolio-MFL'!N56</f>
        <v>38</v>
      </c>
      <c r="R58" s="10">
        <f>24+38+15-'Managed portfolio-MFL'!O56</f>
        <v>53</v>
      </c>
      <c r="S58" s="10">
        <f>20+88+80-'Managed portfolio-MFL'!P56</f>
        <v>146</v>
      </c>
      <c r="T58" s="10">
        <f>60+20+35+140+104+191+62+74+90+158+135+186</f>
        <v>1255</v>
      </c>
      <c r="U58" s="10">
        <f>60+35+55+58+41+174+115+79+103+150+148+262+247-150</f>
        <v>1377</v>
      </c>
      <c r="V58" s="108">
        <f>150+304+122</f>
        <v>576</v>
      </c>
      <c r="W58" s="10">
        <f>30+74+65+20+94+48+107+76</f>
        <v>514</v>
      </c>
      <c r="X58" s="89">
        <f>13+150+63+47+82+74+100+83</f>
        <v>612</v>
      </c>
    </row>
    <row r="59" spans="1:24" s="5" customFormat="1" ht="16.5" thickBot="1" x14ac:dyDescent="0.3">
      <c r="A59" s="50" t="s">
        <v>77</v>
      </c>
      <c r="B59" s="63" t="s">
        <v>21</v>
      </c>
      <c r="C59" s="148">
        <f>SUM(D59:X59)</f>
        <v>244353000</v>
      </c>
      <c r="D59" s="247">
        <f>2911000+2970000+1972000+3410000+1754000+4712000+4535000+1431000+5209000+5830000+6206000+4541000-'Managed portfolio-MFL'!D57</f>
        <v>43871000</v>
      </c>
      <c r="E59" s="10">
        <f>2064000+1631000+1082000+1832000+1522000+1382000+1551000+1165000+1535000+2031000+1607000+2700000</f>
        <v>20102000</v>
      </c>
      <c r="F59" s="247">
        <f>580000+2310000+1630000+1420000+1300000+2730000+1620000-'Managed portfolio-MFL'!E57</f>
        <v>6440000</v>
      </c>
      <c r="G59" s="247">
        <f>1184000+275000+682000+1027000+900000+2129000+1116000+1117000+2705000+2320000-'Managed portfolio-MFL'!F57</f>
        <v>9618000</v>
      </c>
      <c r="H59" s="247">
        <f>685000+220000+365000+720000+982000+1692000+660000+871000+1347000+1627000+864000-'Managed portfolio-MFL'!G57</f>
        <v>6346000</v>
      </c>
      <c r="I59" s="247">
        <f>700000+1085000+1600000+1405000+2511000+2089000+1993000+2569000+2798000+1628000-'Managed portfolio-MFL'!H57</f>
        <v>11396000</v>
      </c>
      <c r="J59" s="81">
        <f>268000+75000+690000+1235000+1725000+1475000+826000+1350000+332000+783000+780000</f>
        <v>9539000</v>
      </c>
      <c r="K59" s="247">
        <f>475000+4645000+5864000+3911000+4497000+3609000+4500000+11267000+9086000-17497000-'Managed portfolio-MFL'!I57</f>
        <v>27797000</v>
      </c>
      <c r="L59" s="224">
        <f xml:space="preserve"> 8760000+8737000+ 1864000</f>
        <v>19361000</v>
      </c>
      <c r="M59" s="247">
        <f>1065000+3070000+2400000+1780000+2100000+1940000+2875000+2747000-'Managed portfolio-MFL'!K57</f>
        <v>11682000</v>
      </c>
      <c r="N59" s="89">
        <f>510000+188000+599000+674000+552000+423000+370000+70000+677000+1122000+1385000+1825000</f>
        <v>8395000</v>
      </c>
      <c r="O59" s="250">
        <f>1800000+3150000+1890000+1335000+1440000+1065000+964000-'Managed portfolio-MFL'!L57</f>
        <v>8674000</v>
      </c>
      <c r="P59" s="267">
        <f>570000+885000+1160000+2805000+2020000+1605000+1695000+1780000+560000+1605000+2235000-'Managed portfolio-MFL'!M57</f>
        <v>12070000</v>
      </c>
      <c r="Q59" s="247">
        <f>319000+751000-'Managed portfolio-MFL'!N57</f>
        <v>844000</v>
      </c>
      <c r="R59" s="247">
        <f>408000+637000+255000-'Managed portfolio-MFL'!O57</f>
        <v>899000</v>
      </c>
      <c r="S59" s="247">
        <f>340000+1492000+1360000-'Managed portfolio-MFL'!P57</f>
        <v>2478000</v>
      </c>
      <c r="T59" s="10">
        <f>426000+140000+297000+1199000+889000+1796000+527000+798000+1003000+1708000+1545000+2040000</f>
        <v>12368000</v>
      </c>
      <c r="U59" s="10">
        <f>525000+240000+473000+344000+255000+1693000+1249000+819000+1148000+1434000+1601000+2731000+2783000-1434000</f>
        <v>13861000</v>
      </c>
      <c r="V59" s="108">
        <f>1434000+ 3560000+1228000</f>
        <v>6222000</v>
      </c>
      <c r="W59" s="10">
        <f>300000+740000+650000+228000+1088000+558000+1244000+958000</f>
        <v>5766000</v>
      </c>
      <c r="X59" s="89">
        <f>130000+1495000+625000+470000+850000+900000+1229000+925000</f>
        <v>6624000</v>
      </c>
    </row>
    <row r="60" spans="1:24" s="5" customFormat="1" ht="17.25" thickBot="1" x14ac:dyDescent="0.3">
      <c r="A60" s="26">
        <v>7</v>
      </c>
      <c r="B60" s="20" t="s">
        <v>48</v>
      </c>
      <c r="C60" s="173"/>
      <c r="D60" s="83"/>
      <c r="E60" s="30"/>
      <c r="F60" s="30"/>
      <c r="G60" s="83"/>
      <c r="H60" s="29"/>
      <c r="I60" s="29"/>
      <c r="J60" s="29"/>
      <c r="K60" s="203"/>
      <c r="L60" s="203"/>
      <c r="M60" s="203"/>
      <c r="N60" s="30"/>
      <c r="O60" s="30"/>
      <c r="P60" s="83"/>
      <c r="Q60" s="203"/>
      <c r="R60" s="203"/>
      <c r="S60" s="203"/>
      <c r="T60" s="203"/>
      <c r="U60" s="203"/>
      <c r="V60" s="203"/>
      <c r="W60" s="203"/>
      <c r="X60" s="30"/>
    </row>
    <row r="61" spans="1:24" s="144" customFormat="1" ht="15.75" x14ac:dyDescent="0.25">
      <c r="A61" s="251">
        <v>7.1</v>
      </c>
      <c r="B61" s="252" t="s">
        <v>51</v>
      </c>
      <c r="C61" s="148">
        <f>SUM(D61:X61)</f>
        <v>47468055.956965059</v>
      </c>
      <c r="D61" s="149">
        <v>13562400</v>
      </c>
      <c r="E61" s="149">
        <f>10368502+55698</f>
        <v>10424200</v>
      </c>
      <c r="F61" s="149">
        <f>F63*F16</f>
        <v>4346677.0365168536</v>
      </c>
      <c r="G61" s="149">
        <f>G63*G16</f>
        <v>1045034.1426356588</v>
      </c>
      <c r="H61" s="149">
        <f>H63*H16</f>
        <v>1476257.0533049039</v>
      </c>
      <c r="I61" s="149">
        <f>I63*I16</f>
        <v>2513440.8953642384</v>
      </c>
      <c r="J61" s="253">
        <v>723538</v>
      </c>
      <c r="K61" s="258">
        <f>1342115+9463</f>
        <v>1351578</v>
      </c>
      <c r="L61" s="258">
        <f>1342115+9463+89755</f>
        <v>1441333</v>
      </c>
      <c r="M61" s="258">
        <f>M63*M16</f>
        <v>2631090.8306962023</v>
      </c>
      <c r="N61" s="150">
        <v>507112</v>
      </c>
      <c r="O61" s="248">
        <f>O63*O16</f>
        <v>409442.998447205</v>
      </c>
      <c r="P61" s="253">
        <f>P63*P16</f>
        <v>0</v>
      </c>
      <c r="Q61" s="258">
        <v>200000</v>
      </c>
      <c r="R61" s="258">
        <v>408000</v>
      </c>
      <c r="S61" s="258">
        <v>340000</v>
      </c>
      <c r="T61" s="258">
        <v>1069934</v>
      </c>
      <c r="U61" s="258">
        <v>2245718</v>
      </c>
      <c r="V61" s="258">
        <v>23254</v>
      </c>
      <c r="W61" s="258">
        <v>878882</v>
      </c>
      <c r="X61" s="150">
        <v>1870164</v>
      </c>
    </row>
    <row r="62" spans="1:24" s="144" customFormat="1" ht="15.75" x14ac:dyDescent="0.25">
      <c r="A62" s="251">
        <v>7.2</v>
      </c>
      <c r="B62" s="254" t="s">
        <v>52</v>
      </c>
      <c r="C62" s="148">
        <f>SUM(D62:X62)</f>
        <v>120724585.04303494</v>
      </c>
      <c r="D62" s="149">
        <f t="shared" ref="D62:X62" si="93">D14-D61</f>
        <v>14595512</v>
      </c>
      <c r="E62" s="149">
        <f t="shared" si="93"/>
        <v>1321170</v>
      </c>
      <c r="F62" s="223">
        <f t="shared" si="93"/>
        <v>1280293.9634831464</v>
      </c>
      <c r="G62" s="149">
        <f t="shared" si="93"/>
        <v>6125678.8573643416</v>
      </c>
      <c r="H62" s="149">
        <f t="shared" si="93"/>
        <v>3170484.9466950959</v>
      </c>
      <c r="I62" s="149">
        <f t="shared" si="93"/>
        <v>5809576.1046357621</v>
      </c>
      <c r="J62" s="253">
        <f t="shared" si="93"/>
        <v>5585876</v>
      </c>
      <c r="K62" s="258">
        <f t="shared" si="93"/>
        <v>20567133</v>
      </c>
      <c r="L62" s="258">
        <f t="shared" ref="L62" si="94">L14-L61</f>
        <v>11114678</v>
      </c>
      <c r="M62" s="258">
        <f t="shared" si="93"/>
        <v>6167054.1693037972</v>
      </c>
      <c r="N62" s="150">
        <f t="shared" si="93"/>
        <v>5688769</v>
      </c>
      <c r="O62" s="248">
        <f t="shared" si="93"/>
        <v>6021808.0015527951</v>
      </c>
      <c r="P62" s="253">
        <f t="shared" si="93"/>
        <v>7855366</v>
      </c>
      <c r="Q62" s="258">
        <f t="shared" si="93"/>
        <v>630280</v>
      </c>
      <c r="R62" s="258">
        <f t="shared" ref="R62:S62" si="95">R14-R61</f>
        <v>428771</v>
      </c>
      <c r="S62" s="258">
        <f t="shared" si="95"/>
        <v>1950646</v>
      </c>
      <c r="T62" s="258">
        <f t="shared" si="93"/>
        <v>7310684</v>
      </c>
      <c r="U62" s="258">
        <f t="shared" si="93"/>
        <v>4030556</v>
      </c>
      <c r="V62" s="258">
        <f t="shared" ref="V62" si="96">V14-V61</f>
        <v>4289352</v>
      </c>
      <c r="W62" s="258">
        <f t="shared" si="93"/>
        <v>3666424</v>
      </c>
      <c r="X62" s="150">
        <f t="shared" si="93"/>
        <v>3114472</v>
      </c>
    </row>
    <row r="63" spans="1:24" s="109" customFormat="1" ht="15.75" x14ac:dyDescent="0.25">
      <c r="A63" s="103">
        <v>7.3</v>
      </c>
      <c r="B63" s="220" t="s">
        <v>49</v>
      </c>
      <c r="C63" s="169">
        <f>SUM(D63:X63)</f>
        <v>6895</v>
      </c>
      <c r="D63" s="221">
        <v>1818</v>
      </c>
      <c r="E63" s="222">
        <v>1297</v>
      </c>
      <c r="F63" s="149">
        <v>550</v>
      </c>
      <c r="G63" s="149">
        <f>122-'Managed portfolio-MFL'!F61</f>
        <v>94</v>
      </c>
      <c r="H63" s="255">
        <f>235-'Managed portfolio-MFL'!G61</f>
        <v>149</v>
      </c>
      <c r="I63" s="258">
        <v>228</v>
      </c>
      <c r="J63" s="229">
        <v>134</v>
      </c>
      <c r="K63" s="224">
        <v>159</v>
      </c>
      <c r="L63" s="224">
        <v>289</v>
      </c>
      <c r="M63" s="258">
        <v>189</v>
      </c>
      <c r="N63" s="150">
        <v>76</v>
      </c>
      <c r="O63" s="150">
        <v>41</v>
      </c>
      <c r="P63" s="253">
        <v>0</v>
      </c>
      <c r="Q63" s="224">
        <v>10</v>
      </c>
      <c r="R63" s="224">
        <v>38</v>
      </c>
      <c r="S63" s="224">
        <v>101</v>
      </c>
      <c r="T63" s="224">
        <v>266</v>
      </c>
      <c r="U63" s="224">
        <v>608</v>
      </c>
      <c r="V63" s="224">
        <v>25</v>
      </c>
      <c r="W63" s="224">
        <v>298</v>
      </c>
      <c r="X63" s="239">
        <v>525</v>
      </c>
    </row>
    <row r="64" spans="1:24" s="109" customFormat="1" ht="15.75" x14ac:dyDescent="0.25">
      <c r="A64" s="103">
        <v>7.4</v>
      </c>
      <c r="B64" s="220" t="s">
        <v>50</v>
      </c>
      <c r="C64" s="169">
        <f>SUM(D64:X64)</f>
        <v>9596</v>
      </c>
      <c r="D64" s="224">
        <f t="shared" ref="D64:X64" si="97">D13-D63</f>
        <v>1311</v>
      </c>
      <c r="E64" s="224">
        <f t="shared" si="97"/>
        <v>0</v>
      </c>
      <c r="F64" s="149">
        <f t="shared" si="97"/>
        <v>162</v>
      </c>
      <c r="G64" s="224">
        <f t="shared" si="97"/>
        <v>551</v>
      </c>
      <c r="H64" s="224">
        <f t="shared" si="97"/>
        <v>320</v>
      </c>
      <c r="I64" s="224">
        <f t="shared" si="97"/>
        <v>527</v>
      </c>
      <c r="J64" s="229">
        <f t="shared" si="97"/>
        <v>605</v>
      </c>
      <c r="K64" s="224">
        <f t="shared" si="97"/>
        <v>1185</v>
      </c>
      <c r="L64" s="224">
        <f t="shared" ref="L64" si="98">L13-L63</f>
        <v>460</v>
      </c>
      <c r="M64" s="224">
        <f t="shared" si="97"/>
        <v>443</v>
      </c>
      <c r="N64" s="239">
        <f t="shared" si="97"/>
        <v>523</v>
      </c>
      <c r="O64" s="222">
        <f t="shared" si="97"/>
        <v>603</v>
      </c>
      <c r="P64" s="225">
        <f t="shared" si="97"/>
        <v>674</v>
      </c>
      <c r="Q64" s="224">
        <f t="shared" si="97"/>
        <v>28</v>
      </c>
      <c r="R64" s="224">
        <f t="shared" ref="R64:S64" si="99">R13-R63</f>
        <v>15</v>
      </c>
      <c r="S64" s="224">
        <f t="shared" si="99"/>
        <v>45</v>
      </c>
      <c r="T64" s="224">
        <f t="shared" si="97"/>
        <v>953</v>
      </c>
      <c r="U64" s="224">
        <f t="shared" si="97"/>
        <v>338</v>
      </c>
      <c r="V64" s="224">
        <f t="shared" ref="V64" si="100">V13-V63</f>
        <v>551</v>
      </c>
      <c r="W64" s="224">
        <f t="shared" si="97"/>
        <v>215</v>
      </c>
      <c r="X64" s="239">
        <f t="shared" si="97"/>
        <v>87</v>
      </c>
    </row>
    <row r="65" spans="4:24" x14ac:dyDescent="0.25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4:24" x14ac:dyDescent="0.25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4:24" x14ac:dyDescent="0.2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4:24" x14ac:dyDescent="0.25">
      <c r="T68" s="40"/>
      <c r="U68" s="40"/>
      <c r="V68" s="40"/>
      <c r="X68" s="40"/>
    </row>
  </sheetData>
  <mergeCells count="6">
    <mergeCell ref="B1:F1"/>
    <mergeCell ref="U3:V3"/>
    <mergeCell ref="Q3:S3"/>
    <mergeCell ref="D3:F3"/>
    <mergeCell ref="K3:N3"/>
    <mergeCell ref="G3:J3"/>
  </mergeCells>
  <printOptions horizontalCentered="1" verticalCentered="1"/>
  <pageMargins left="0.25" right="0.25" top="0.75" bottom="0.75" header="0.3" footer="0.3"/>
  <pageSetup paperSize="9" scale="42" orientation="landscape" horizontalDpi="4294967293" r:id="rId1"/>
  <headerFooter alignWithMargins="0"/>
  <ignoredErrors>
    <ignoredError sqref="G16:J16 P16" formula="1"/>
    <ignoredError sqref="G18:K18 P18 E18" formula="1" unlockedFormula="1"/>
    <ignoredError sqref="G19:K19 T18:T19 D19:E19 P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zoomScale="80" zoomScaleSheetLayoutView="80" zoomScalePageLayoutView="81" workbookViewId="0">
      <pane xSplit="3" ySplit="5" topLeftCell="D6" activePane="bottomRight" state="frozen"/>
      <selection pane="topRight" activeCell="F1" sqref="F1"/>
      <selection pane="bottomLeft" activeCell="A6" sqref="A6"/>
      <selection pane="bottomRight" sqref="A1:F1"/>
    </sheetView>
  </sheetViews>
  <sheetFormatPr defaultColWidth="9.140625" defaultRowHeight="13.5" x14ac:dyDescent="0.25"/>
  <cols>
    <col min="1" max="1" width="13.5703125" style="11" bestFit="1" customWidth="1"/>
    <col min="2" max="2" width="55.140625" style="4" bestFit="1" customWidth="1"/>
    <col min="3" max="3" width="13.7109375" style="4" bestFit="1" customWidth="1"/>
    <col min="4" max="4" width="15.85546875" style="4" bestFit="1" customWidth="1"/>
    <col min="5" max="5" width="11" style="218" bestFit="1" customWidth="1"/>
    <col min="6" max="6" width="11.5703125" style="4" bestFit="1" customWidth="1"/>
    <col min="7" max="7" width="15" style="4" bestFit="1" customWidth="1"/>
    <col min="8" max="8" width="11" style="4" bestFit="1" customWidth="1"/>
    <col min="9" max="9" width="11" style="4" customWidth="1"/>
    <col min="10" max="10" width="15.140625" style="4" bestFit="1" customWidth="1"/>
    <col min="11" max="16384" width="9.140625" style="4"/>
  </cols>
  <sheetData>
    <row r="1" spans="1:10" ht="18.75" x14ac:dyDescent="0.25">
      <c r="A1" s="328" t="s">
        <v>142</v>
      </c>
      <c r="B1" s="329"/>
      <c r="C1" s="329"/>
      <c r="D1" s="329"/>
      <c r="E1" s="329"/>
      <c r="F1" s="329"/>
      <c r="G1" s="42"/>
      <c r="H1" s="42"/>
    </row>
    <row r="2" spans="1:10" ht="19.5" thickBot="1" x14ac:dyDescent="0.3">
      <c r="B2" s="18" t="s">
        <v>92</v>
      </c>
      <c r="C2" s="38">
        <f>Prayas!C2</f>
        <v>42440</v>
      </c>
      <c r="D2" s="330"/>
      <c r="E2" s="330"/>
      <c r="F2" s="330"/>
      <c r="G2" s="330"/>
      <c r="H2" s="330"/>
      <c r="I2" s="330"/>
      <c r="J2" s="330"/>
    </row>
    <row r="3" spans="1:10" s="5" customFormat="1" ht="17.25" thickBot="1" x14ac:dyDescent="0.35">
      <c r="A3" s="72" t="s">
        <v>0</v>
      </c>
      <c r="B3" s="52" t="s">
        <v>80</v>
      </c>
      <c r="C3" s="311" t="s">
        <v>124</v>
      </c>
      <c r="D3" s="310" t="s">
        <v>81</v>
      </c>
      <c r="E3" s="322" t="s">
        <v>86</v>
      </c>
      <c r="F3" s="323"/>
      <c r="G3" s="324"/>
      <c r="H3" s="316" t="s">
        <v>89</v>
      </c>
      <c r="I3" s="317"/>
      <c r="J3" s="318"/>
    </row>
    <row r="4" spans="1:10" s="5" customFormat="1" ht="17.25" thickBot="1" x14ac:dyDescent="0.3">
      <c r="A4" s="72"/>
      <c r="B4" s="78" t="s">
        <v>79</v>
      </c>
      <c r="C4" s="311" t="s">
        <v>144</v>
      </c>
      <c r="D4" s="310" t="s">
        <v>84</v>
      </c>
      <c r="E4" s="293" t="s">
        <v>149</v>
      </c>
      <c r="F4" s="293" t="s">
        <v>95</v>
      </c>
      <c r="G4" s="293" t="s">
        <v>87</v>
      </c>
      <c r="H4" s="298" t="s">
        <v>112</v>
      </c>
      <c r="I4" s="298" t="s">
        <v>113</v>
      </c>
      <c r="J4" s="298" t="s">
        <v>114</v>
      </c>
    </row>
    <row r="5" spans="1:10" s="5" customFormat="1" ht="17.25" thickBot="1" x14ac:dyDescent="0.3">
      <c r="A5" s="26">
        <v>1</v>
      </c>
      <c r="B5" s="53" t="s">
        <v>1</v>
      </c>
      <c r="C5" s="178"/>
      <c r="D5" s="36"/>
      <c r="E5" s="36"/>
      <c r="F5" s="36"/>
      <c r="G5" s="36"/>
      <c r="H5" s="124"/>
      <c r="I5" s="124"/>
      <c r="J5" s="124"/>
    </row>
    <row r="6" spans="1:10" s="5" customFormat="1" ht="15.75" x14ac:dyDescent="0.25">
      <c r="A6" s="73">
        <v>1.1000000000000001</v>
      </c>
      <c r="B6" s="54" t="s">
        <v>2</v>
      </c>
      <c r="C6" s="24">
        <f>SUM(D6:J6)</f>
        <v>2668</v>
      </c>
      <c r="D6" s="31">
        <f t="shared" ref="D6:G6" si="0">D7+D8+D9+D10</f>
        <v>101</v>
      </c>
      <c r="E6" s="99">
        <f t="shared" si="0"/>
        <v>359</v>
      </c>
      <c r="F6" s="12">
        <f t="shared" si="0"/>
        <v>198</v>
      </c>
      <c r="G6" s="12">
        <f t="shared" si="0"/>
        <v>171</v>
      </c>
      <c r="H6" s="86">
        <f>H7+H8+H9+H10</f>
        <v>633</v>
      </c>
      <c r="I6" s="31">
        <f t="shared" ref="I6:J6" si="1">I7+I8+I9+I10</f>
        <v>531</v>
      </c>
      <c r="J6" s="31">
        <f t="shared" si="1"/>
        <v>675</v>
      </c>
    </row>
    <row r="7" spans="1:10" s="5" customFormat="1" ht="15.75" x14ac:dyDescent="0.25">
      <c r="A7" s="74">
        <v>1.2</v>
      </c>
      <c r="B7" s="24" t="s">
        <v>4</v>
      </c>
      <c r="C7" s="24">
        <f>SUM(D7:J7)</f>
        <v>2119</v>
      </c>
      <c r="D7" s="31">
        <v>21</v>
      </c>
      <c r="E7" s="99">
        <v>114</v>
      </c>
      <c r="F7" s="12">
        <v>78</v>
      </c>
      <c r="G7" s="12">
        <v>67</v>
      </c>
      <c r="H7" s="86">
        <v>633</v>
      </c>
      <c r="I7" s="31">
        <v>531</v>
      </c>
      <c r="J7" s="31">
        <v>675</v>
      </c>
    </row>
    <row r="8" spans="1:10" s="5" customFormat="1" ht="15.75" x14ac:dyDescent="0.25">
      <c r="A8" s="74">
        <v>1.3</v>
      </c>
      <c r="B8" s="24" t="s">
        <v>5</v>
      </c>
      <c r="C8" s="24">
        <f>SUM(D8:J8)</f>
        <v>129</v>
      </c>
      <c r="D8" s="31">
        <v>29</v>
      </c>
      <c r="E8" s="99">
        <v>51</v>
      </c>
      <c r="F8" s="12">
        <v>30</v>
      </c>
      <c r="G8" s="12">
        <v>19</v>
      </c>
      <c r="H8" s="86">
        <v>0</v>
      </c>
      <c r="I8" s="31">
        <v>0</v>
      </c>
      <c r="J8" s="31">
        <v>0</v>
      </c>
    </row>
    <row r="9" spans="1:10" s="5" customFormat="1" ht="15.75" x14ac:dyDescent="0.25">
      <c r="A9" s="74">
        <v>1.4</v>
      </c>
      <c r="B9" s="24" t="s">
        <v>6</v>
      </c>
      <c r="C9" s="24">
        <f>SUM(D9:J9)</f>
        <v>135</v>
      </c>
      <c r="D9" s="31">
        <v>14</v>
      </c>
      <c r="E9" s="99">
        <v>60</v>
      </c>
      <c r="F9" s="12">
        <v>26</v>
      </c>
      <c r="G9" s="12">
        <v>35</v>
      </c>
      <c r="H9" s="86">
        <v>0</v>
      </c>
      <c r="I9" s="31">
        <v>0</v>
      </c>
      <c r="J9" s="31">
        <v>0</v>
      </c>
    </row>
    <row r="10" spans="1:10" s="5" customFormat="1" ht="16.5" thickBot="1" x14ac:dyDescent="0.3">
      <c r="A10" s="74">
        <v>1.5</v>
      </c>
      <c r="B10" s="24" t="s">
        <v>7</v>
      </c>
      <c r="C10" s="24">
        <f>SUM(D10:J10)</f>
        <v>285</v>
      </c>
      <c r="D10" s="31">
        <v>37</v>
      </c>
      <c r="E10" s="99">
        <v>134</v>
      </c>
      <c r="F10" s="12">
        <v>64</v>
      </c>
      <c r="G10" s="12">
        <v>50</v>
      </c>
      <c r="H10" s="86">
        <v>0</v>
      </c>
      <c r="I10" s="31">
        <v>0</v>
      </c>
      <c r="J10" s="31">
        <v>0</v>
      </c>
    </row>
    <row r="11" spans="1:10" s="5" customFormat="1" ht="16.5" hidden="1" customHeight="1" thickBot="1" x14ac:dyDescent="0.3">
      <c r="A11" s="75">
        <v>1.6</v>
      </c>
      <c r="B11" s="55" t="s">
        <v>8</v>
      </c>
      <c r="C11" s="24">
        <v>0</v>
      </c>
      <c r="D11" s="31">
        <v>0</v>
      </c>
      <c r="E11" s="219">
        <v>0</v>
      </c>
      <c r="F11" s="10">
        <v>0</v>
      </c>
      <c r="G11" s="10">
        <v>0</v>
      </c>
      <c r="H11" s="82">
        <v>0</v>
      </c>
      <c r="I11" s="31">
        <v>0</v>
      </c>
      <c r="J11" s="31"/>
    </row>
    <row r="12" spans="1:10" s="5" customFormat="1" ht="17.25" thickBot="1" x14ac:dyDescent="0.3">
      <c r="A12" s="26">
        <v>2</v>
      </c>
      <c r="B12" s="53" t="s">
        <v>9</v>
      </c>
      <c r="C12" s="128"/>
      <c r="D12" s="30"/>
      <c r="E12" s="30"/>
      <c r="F12" s="29"/>
      <c r="G12" s="90"/>
      <c r="H12" s="206"/>
      <c r="I12" s="30"/>
      <c r="J12" s="30"/>
    </row>
    <row r="13" spans="1:10" s="5" customFormat="1" ht="16.5" x14ac:dyDescent="0.25">
      <c r="A13" s="73">
        <v>2.1</v>
      </c>
      <c r="B13" s="56" t="s">
        <v>10</v>
      </c>
      <c r="C13" s="27">
        <f>SUM(D13:J13)</f>
        <v>2668</v>
      </c>
      <c r="D13" s="31">
        <f t="shared" ref="D13:G13" si="2">D6</f>
        <v>101</v>
      </c>
      <c r="E13" s="31">
        <f t="shared" si="2"/>
        <v>359</v>
      </c>
      <c r="F13" s="10">
        <f t="shared" si="2"/>
        <v>198</v>
      </c>
      <c r="G13" s="10">
        <f t="shared" si="2"/>
        <v>171</v>
      </c>
      <c r="H13" s="82">
        <f t="shared" ref="H13:J13" si="3">H6</f>
        <v>633</v>
      </c>
      <c r="I13" s="10">
        <f t="shared" si="3"/>
        <v>531</v>
      </c>
      <c r="J13" s="10">
        <f t="shared" si="3"/>
        <v>675</v>
      </c>
    </row>
    <row r="14" spans="1:10" s="144" customFormat="1" ht="16.5" x14ac:dyDescent="0.3">
      <c r="A14" s="74">
        <v>2.2000000000000002</v>
      </c>
      <c r="B14" s="24" t="s">
        <v>12</v>
      </c>
      <c r="C14" s="195">
        <f>SUM(D14:J14)</f>
        <v>9610668</v>
      </c>
      <c r="D14" s="147">
        <v>170737</v>
      </c>
      <c r="E14" s="147">
        <v>1110587</v>
      </c>
      <c r="F14" s="146">
        <v>570280</v>
      </c>
      <c r="G14" s="146">
        <v>400330</v>
      </c>
      <c r="H14" s="145">
        <v>2117660</v>
      </c>
      <c r="I14" s="147">
        <v>2716705</v>
      </c>
      <c r="J14" s="147">
        <v>2524369</v>
      </c>
    </row>
    <row r="15" spans="1:10" s="5" customFormat="1" ht="15.75" x14ac:dyDescent="0.25">
      <c r="A15" s="74">
        <v>2.2999999999999998</v>
      </c>
      <c r="B15" s="24" t="s">
        <v>13</v>
      </c>
      <c r="C15" s="130">
        <f>C14/C13</f>
        <v>3602.1994002998499</v>
      </c>
      <c r="D15" s="160">
        <f t="shared" ref="D15:G15" si="4">D14/D13</f>
        <v>1690.4653465346535</v>
      </c>
      <c r="E15" s="160">
        <f t="shared" si="4"/>
        <v>3093.5571030640667</v>
      </c>
      <c r="F15" s="15">
        <f t="shared" si="4"/>
        <v>2880.2020202020203</v>
      </c>
      <c r="G15" s="15">
        <f t="shared" si="4"/>
        <v>2341.1111111111113</v>
      </c>
      <c r="H15" s="256">
        <f t="shared" ref="H15" si="5">H14/H13</f>
        <v>3345.4344391785148</v>
      </c>
      <c r="I15" s="160">
        <f t="shared" ref="I15:J15" si="6">I14/I13</f>
        <v>5116.2052730696796</v>
      </c>
      <c r="J15" s="160">
        <f t="shared" si="6"/>
        <v>3739.8059259259257</v>
      </c>
    </row>
    <row r="16" spans="1:10" s="5" customFormat="1" ht="15.75" x14ac:dyDescent="0.25">
      <c r="A16" s="74">
        <v>2.4</v>
      </c>
      <c r="B16" s="24" t="s">
        <v>28</v>
      </c>
      <c r="C16" s="24">
        <f>SUM(D16:J16)</f>
        <v>3</v>
      </c>
      <c r="D16" s="101">
        <v>0</v>
      </c>
      <c r="E16" s="101">
        <v>0</v>
      </c>
      <c r="F16" s="12">
        <v>0</v>
      </c>
      <c r="G16" s="12">
        <v>0</v>
      </c>
      <c r="H16" s="86">
        <v>1</v>
      </c>
      <c r="I16" s="101">
        <v>1</v>
      </c>
      <c r="J16" s="101">
        <v>1</v>
      </c>
    </row>
    <row r="17" spans="1:10" s="5" customFormat="1" ht="15.75" x14ac:dyDescent="0.25">
      <c r="A17" s="74">
        <v>2.5</v>
      </c>
      <c r="B17" s="24" t="s">
        <v>29</v>
      </c>
      <c r="C17" s="130">
        <f>C13/C16</f>
        <v>889.33333333333337</v>
      </c>
      <c r="D17" s="160" t="e">
        <f t="shared" ref="D17:G17" si="7">D13/D16</f>
        <v>#DIV/0!</v>
      </c>
      <c r="E17" s="160" t="e">
        <f t="shared" si="7"/>
        <v>#DIV/0!</v>
      </c>
      <c r="F17" s="15" t="e">
        <f t="shared" si="7"/>
        <v>#DIV/0!</v>
      </c>
      <c r="G17" s="15" t="e">
        <f t="shared" si="7"/>
        <v>#DIV/0!</v>
      </c>
      <c r="H17" s="85">
        <f t="shared" ref="H17" si="8">H13/H16</f>
        <v>633</v>
      </c>
      <c r="I17" s="160">
        <f t="shared" ref="I17:J17" si="9">I13/I16</f>
        <v>531</v>
      </c>
      <c r="J17" s="160">
        <f t="shared" si="9"/>
        <v>675</v>
      </c>
    </row>
    <row r="18" spans="1:10" s="5" customFormat="1" ht="16.5" thickBot="1" x14ac:dyDescent="0.3">
      <c r="A18" s="74">
        <v>2.6</v>
      </c>
      <c r="B18" s="55" t="s">
        <v>30</v>
      </c>
      <c r="C18" s="130">
        <f>C14/C16</f>
        <v>3203556</v>
      </c>
      <c r="D18" s="160" t="e">
        <f t="shared" ref="D18:G18" si="10">D14/D16</f>
        <v>#DIV/0!</v>
      </c>
      <c r="E18" s="160" t="e">
        <f t="shared" si="10"/>
        <v>#DIV/0!</v>
      </c>
      <c r="F18" s="15" t="e">
        <f t="shared" si="10"/>
        <v>#DIV/0!</v>
      </c>
      <c r="G18" s="15" t="e">
        <f t="shared" si="10"/>
        <v>#DIV/0!</v>
      </c>
      <c r="H18" s="85">
        <f t="shared" ref="H18" si="11">H14/H16</f>
        <v>2117660</v>
      </c>
      <c r="I18" s="160">
        <f t="shared" ref="I18:J18" si="12">I14/I16</f>
        <v>2716705</v>
      </c>
      <c r="J18" s="160">
        <f t="shared" si="12"/>
        <v>2524369</v>
      </c>
    </row>
    <row r="19" spans="1:10" s="5" customFormat="1" ht="17.25" thickBot="1" x14ac:dyDescent="0.3">
      <c r="A19" s="26">
        <v>3</v>
      </c>
      <c r="B19" s="53" t="s">
        <v>17</v>
      </c>
      <c r="C19" s="128"/>
      <c r="D19" s="30"/>
      <c r="E19" s="30"/>
      <c r="F19" s="29"/>
      <c r="G19" s="90"/>
      <c r="H19" s="206"/>
      <c r="I19" s="30"/>
      <c r="J19" s="30"/>
    </row>
    <row r="20" spans="1:10" s="5" customFormat="1" ht="16.5" x14ac:dyDescent="0.25">
      <c r="A20" s="74">
        <v>3.1</v>
      </c>
      <c r="B20" s="54" t="s">
        <v>19</v>
      </c>
      <c r="C20" s="27">
        <f t="shared" ref="C20:C25" si="13">SUM(D20:J20)</f>
        <v>0</v>
      </c>
      <c r="D20" s="31">
        <v>0</v>
      </c>
      <c r="E20" s="31">
        <v>0</v>
      </c>
      <c r="F20" s="82">
        <v>0</v>
      </c>
      <c r="G20" s="82">
        <v>0</v>
      </c>
      <c r="H20" s="82">
        <v>0</v>
      </c>
      <c r="I20" s="31">
        <v>0</v>
      </c>
      <c r="J20" s="31">
        <v>0</v>
      </c>
    </row>
    <row r="21" spans="1:10" s="5" customFormat="1" ht="16.5" x14ac:dyDescent="0.3">
      <c r="A21" s="74">
        <v>3.2</v>
      </c>
      <c r="B21" s="24" t="s">
        <v>21</v>
      </c>
      <c r="C21" s="146">
        <f t="shared" si="13"/>
        <v>0</v>
      </c>
      <c r="D21" s="150">
        <v>0</v>
      </c>
      <c r="E21" s="150">
        <v>0</v>
      </c>
      <c r="F21" s="151">
        <v>0</v>
      </c>
      <c r="G21" s="151">
        <v>0</v>
      </c>
      <c r="H21" s="149">
        <v>0</v>
      </c>
      <c r="I21" s="150">
        <v>0</v>
      </c>
      <c r="J21" s="150">
        <v>0</v>
      </c>
    </row>
    <row r="22" spans="1:10" s="5" customFormat="1" ht="15.75" x14ac:dyDescent="0.25">
      <c r="A22" s="74">
        <v>3.3</v>
      </c>
      <c r="B22" s="24" t="s">
        <v>22</v>
      </c>
      <c r="C22" s="24">
        <f t="shared" si="13"/>
        <v>6706027</v>
      </c>
      <c r="D22" s="86">
        <f>D23+D43</f>
        <v>306975</v>
      </c>
      <c r="E22" s="86">
        <f t="shared" ref="E22:J22" si="14">E23+E43</f>
        <v>1540643</v>
      </c>
      <c r="F22" s="86">
        <f t="shared" si="14"/>
        <v>890574</v>
      </c>
      <c r="G22" s="86">
        <f t="shared" si="14"/>
        <v>666395</v>
      </c>
      <c r="H22" s="86">
        <f t="shared" si="14"/>
        <v>1319927</v>
      </c>
      <c r="I22" s="86">
        <f t="shared" si="14"/>
        <v>932740</v>
      </c>
      <c r="J22" s="86">
        <f t="shared" si="14"/>
        <v>1048773</v>
      </c>
    </row>
    <row r="23" spans="1:10" s="5" customFormat="1" ht="15.75" x14ac:dyDescent="0.25">
      <c r="A23" s="74">
        <v>3.4</v>
      </c>
      <c r="B23" s="24" t="s">
        <v>23</v>
      </c>
      <c r="C23" s="24">
        <f t="shared" si="13"/>
        <v>6667908</v>
      </c>
      <c r="D23" s="31">
        <v>306975</v>
      </c>
      <c r="E23" s="31">
        <v>1533441</v>
      </c>
      <c r="F23" s="10">
        <v>890574</v>
      </c>
      <c r="G23" s="10">
        <v>666395</v>
      </c>
      <c r="H23" s="86">
        <v>1304317</v>
      </c>
      <c r="I23" s="31">
        <v>917433</v>
      </c>
      <c r="J23" s="31">
        <v>1048773</v>
      </c>
    </row>
    <row r="24" spans="1:10" s="5" customFormat="1" ht="15.75" x14ac:dyDescent="0.25">
      <c r="A24" s="74">
        <v>3.5</v>
      </c>
      <c r="B24" s="57" t="s">
        <v>24</v>
      </c>
      <c r="C24" s="130">
        <f t="shared" si="13"/>
        <v>666790.80000000005</v>
      </c>
      <c r="D24" s="160">
        <f t="shared" ref="D24:J24" si="15">D23*10%</f>
        <v>30697.5</v>
      </c>
      <c r="E24" s="160">
        <f t="shared" si="15"/>
        <v>153344.1</v>
      </c>
      <c r="F24" s="160">
        <f t="shared" si="15"/>
        <v>89057.400000000009</v>
      </c>
      <c r="G24" s="160">
        <f t="shared" si="15"/>
        <v>66639.5</v>
      </c>
      <c r="H24" s="160">
        <f t="shared" si="15"/>
        <v>130431.70000000001</v>
      </c>
      <c r="I24" s="160">
        <f t="shared" si="15"/>
        <v>91743.3</v>
      </c>
      <c r="J24" s="160">
        <f t="shared" si="15"/>
        <v>104877.3</v>
      </c>
    </row>
    <row r="25" spans="1:10" s="5" customFormat="1" ht="16.5" thickBot="1" x14ac:dyDescent="0.3">
      <c r="A25" s="74"/>
      <c r="B25" s="57" t="s">
        <v>131</v>
      </c>
      <c r="C25" s="130">
        <f t="shared" si="13"/>
        <v>256447.74168000001</v>
      </c>
      <c r="D25" s="160">
        <f t="shared" ref="D25:J25" si="16">D24*38.46%</f>
        <v>11806.2585</v>
      </c>
      <c r="E25" s="160">
        <f t="shared" si="16"/>
        <v>58976.14086</v>
      </c>
      <c r="F25" s="160">
        <f t="shared" si="16"/>
        <v>34251.476040000001</v>
      </c>
      <c r="G25" s="160">
        <f t="shared" si="16"/>
        <v>25629.5517</v>
      </c>
      <c r="H25" s="160">
        <f t="shared" si="16"/>
        <v>50164.031820000004</v>
      </c>
      <c r="I25" s="160">
        <f t="shared" si="16"/>
        <v>35284.473180000001</v>
      </c>
      <c r="J25" s="160">
        <f t="shared" si="16"/>
        <v>40335.809580000001</v>
      </c>
    </row>
    <row r="26" spans="1:10" s="5" customFormat="1" ht="17.25" thickBot="1" x14ac:dyDescent="0.3">
      <c r="A26" s="26">
        <v>4</v>
      </c>
      <c r="B26" s="53" t="s">
        <v>26</v>
      </c>
      <c r="C26" s="128"/>
      <c r="D26" s="30"/>
      <c r="E26" s="30"/>
      <c r="F26" s="29"/>
      <c r="G26" s="90"/>
      <c r="H26" s="206"/>
      <c r="I26" s="30"/>
      <c r="J26" s="30"/>
    </row>
    <row r="27" spans="1:10" s="5" customFormat="1" ht="16.5" x14ac:dyDescent="0.25">
      <c r="A27" s="74">
        <v>4.0999999999999996</v>
      </c>
      <c r="B27" s="54" t="s">
        <v>31</v>
      </c>
      <c r="C27" s="134">
        <f>(C50-C45-C46)/C14</f>
        <v>3.3729185109713498E-3</v>
      </c>
      <c r="D27" s="35">
        <f t="shared" ref="D27:G27" si="17">D54</f>
        <v>0</v>
      </c>
      <c r="E27" s="35">
        <f t="shared" si="17"/>
        <v>0</v>
      </c>
      <c r="F27" s="14">
        <f t="shared" si="17"/>
        <v>0</v>
      </c>
      <c r="G27" s="14">
        <f t="shared" si="17"/>
        <v>0</v>
      </c>
      <c r="H27" s="87">
        <f t="shared" ref="H27" si="18">H54</f>
        <v>0.46782769660852075</v>
      </c>
      <c r="I27" s="35">
        <f t="shared" ref="I27:J27" si="19">I54</f>
        <v>0</v>
      </c>
      <c r="J27" s="35">
        <f t="shared" si="19"/>
        <v>0</v>
      </c>
    </row>
    <row r="28" spans="1:10" s="5" customFormat="1" ht="17.25" thickBot="1" x14ac:dyDescent="0.3">
      <c r="A28" s="74">
        <v>4.2</v>
      </c>
      <c r="B28" s="57" t="s">
        <v>25</v>
      </c>
      <c r="C28" s="134">
        <f>(C14-C50)/C14</f>
        <v>0.99295959448396298</v>
      </c>
      <c r="D28" s="34">
        <f>(D23/D22)*100</f>
        <v>100</v>
      </c>
      <c r="E28" s="34">
        <f t="shared" ref="E28:I28" si="20">(E23/E22)*100</f>
        <v>99.532532845052359</v>
      </c>
      <c r="F28" s="13">
        <f t="shared" si="20"/>
        <v>100</v>
      </c>
      <c r="G28" s="13">
        <f t="shared" si="20"/>
        <v>100</v>
      </c>
      <c r="H28" s="132">
        <f t="shared" si="20"/>
        <v>98.817358838784259</v>
      </c>
      <c r="I28" s="34">
        <f t="shared" si="20"/>
        <v>98.35892102836803</v>
      </c>
      <c r="J28" s="34">
        <f t="shared" ref="J28" si="21">(J23/J22)*100</f>
        <v>100</v>
      </c>
    </row>
    <row r="29" spans="1:10" s="5" customFormat="1" ht="17.25" thickBot="1" x14ac:dyDescent="0.3">
      <c r="A29" s="26">
        <v>5</v>
      </c>
      <c r="B29" s="79" t="s">
        <v>42</v>
      </c>
      <c r="C29" s="136"/>
      <c r="D29" s="30"/>
      <c r="E29" s="30"/>
      <c r="F29" s="29"/>
      <c r="G29" s="90"/>
      <c r="H29" s="206"/>
      <c r="I29" s="30"/>
      <c r="J29" s="30"/>
    </row>
    <row r="30" spans="1:10" s="5" customFormat="1" ht="17.25" thickBot="1" x14ac:dyDescent="0.3">
      <c r="A30" s="19" t="s">
        <v>44</v>
      </c>
      <c r="B30" s="80" t="s">
        <v>39</v>
      </c>
      <c r="C30" s="136"/>
      <c r="D30" s="30"/>
      <c r="E30" s="30"/>
      <c r="F30" s="29"/>
      <c r="G30" s="90"/>
      <c r="H30" s="206"/>
      <c r="I30" s="30"/>
      <c r="J30" s="30"/>
    </row>
    <row r="31" spans="1:10" s="5" customFormat="1" ht="15.75" x14ac:dyDescent="0.25">
      <c r="A31" s="77" t="s">
        <v>53</v>
      </c>
      <c r="B31" s="60" t="s">
        <v>14</v>
      </c>
      <c r="C31" s="24">
        <f>SUM(D31:J31)</f>
        <v>2</v>
      </c>
      <c r="D31" s="107">
        <v>0</v>
      </c>
      <c r="E31" s="107">
        <v>0</v>
      </c>
      <c r="F31" s="10">
        <v>0</v>
      </c>
      <c r="G31" s="107">
        <v>0</v>
      </c>
      <c r="H31" s="31">
        <v>2</v>
      </c>
      <c r="I31" s="31">
        <v>0</v>
      </c>
      <c r="J31" s="31">
        <v>0</v>
      </c>
    </row>
    <row r="32" spans="1:10" s="5" customFormat="1" ht="15.75" x14ac:dyDescent="0.25">
      <c r="A32" s="77" t="s">
        <v>54</v>
      </c>
      <c r="B32" s="61" t="s">
        <v>15</v>
      </c>
      <c r="C32" s="24">
        <f>SUM(D32:J32)</f>
        <v>2</v>
      </c>
      <c r="D32" s="107">
        <v>0</v>
      </c>
      <c r="E32" s="107">
        <v>0</v>
      </c>
      <c r="F32" s="10">
        <v>0</v>
      </c>
      <c r="G32" s="107">
        <v>0</v>
      </c>
      <c r="H32" s="31">
        <v>2</v>
      </c>
      <c r="I32" s="31">
        <v>0</v>
      </c>
      <c r="J32" s="31">
        <v>0</v>
      </c>
    </row>
    <row r="33" spans="1:10" s="5" customFormat="1" ht="15.75" x14ac:dyDescent="0.25">
      <c r="A33" s="77" t="s">
        <v>55</v>
      </c>
      <c r="B33" s="61" t="s">
        <v>16</v>
      </c>
      <c r="C33" s="24">
        <f>SUM(D33:J33)</f>
        <v>2</v>
      </c>
      <c r="D33" s="107">
        <v>0</v>
      </c>
      <c r="E33" s="107">
        <v>0</v>
      </c>
      <c r="F33" s="10">
        <v>0</v>
      </c>
      <c r="G33" s="107">
        <v>0</v>
      </c>
      <c r="H33" s="31">
        <v>2</v>
      </c>
      <c r="I33" s="31">
        <v>0</v>
      </c>
      <c r="J33" s="31">
        <v>0</v>
      </c>
    </row>
    <row r="34" spans="1:10" s="5" customFormat="1" ht="15.75" x14ac:dyDescent="0.25">
      <c r="A34" s="77" t="s">
        <v>56</v>
      </c>
      <c r="B34" s="61" t="s">
        <v>18</v>
      </c>
      <c r="C34" s="24">
        <f>SUM(D34:J34)</f>
        <v>0</v>
      </c>
      <c r="D34" s="107">
        <v>0</v>
      </c>
      <c r="E34" s="107">
        <v>0</v>
      </c>
      <c r="F34" s="10">
        <v>0</v>
      </c>
      <c r="G34" s="107">
        <v>0</v>
      </c>
      <c r="H34" s="31">
        <v>0</v>
      </c>
      <c r="I34" s="31">
        <v>0</v>
      </c>
      <c r="J34" s="31">
        <v>0</v>
      </c>
    </row>
    <row r="35" spans="1:10" s="5" customFormat="1" ht="15.75" x14ac:dyDescent="0.25">
      <c r="A35" s="77" t="s">
        <v>57</v>
      </c>
      <c r="B35" s="61" t="s">
        <v>20</v>
      </c>
      <c r="C35" s="24">
        <f>SUM(D35:J35)</f>
        <v>2</v>
      </c>
      <c r="D35" s="107">
        <v>0</v>
      </c>
      <c r="E35" s="107">
        <v>1</v>
      </c>
      <c r="F35" s="10">
        <v>0</v>
      </c>
      <c r="G35" s="107">
        <v>0</v>
      </c>
      <c r="H35" s="31">
        <v>0</v>
      </c>
      <c r="I35" s="31">
        <v>1</v>
      </c>
      <c r="J35" s="31">
        <v>0</v>
      </c>
    </row>
    <row r="36" spans="1:10" s="5" customFormat="1" ht="17.25" thickBot="1" x14ac:dyDescent="0.35">
      <c r="A36" s="77" t="s">
        <v>73</v>
      </c>
      <c r="B36" s="62" t="s">
        <v>3</v>
      </c>
      <c r="C36" s="139">
        <f>SUM(C31:C35)</f>
        <v>8</v>
      </c>
      <c r="D36" s="217">
        <f>SUM(D31:D35)</f>
        <v>0</v>
      </c>
      <c r="E36" s="217">
        <f>SUM(E31:E35)</f>
        <v>1</v>
      </c>
      <c r="F36" s="21">
        <f t="shared" ref="F36:G36" si="22">SUM(F31:F35)</f>
        <v>0</v>
      </c>
      <c r="G36" s="211">
        <f t="shared" si="22"/>
        <v>0</v>
      </c>
      <c r="H36" s="84">
        <f t="shared" ref="H36:I36" si="23">SUM(H31:H35)</f>
        <v>6</v>
      </c>
      <c r="I36" s="33">
        <f t="shared" si="23"/>
        <v>1</v>
      </c>
      <c r="J36" s="33">
        <f t="shared" ref="J36" si="24">SUM(J31:J35)</f>
        <v>0</v>
      </c>
    </row>
    <row r="37" spans="1:10" s="5" customFormat="1" ht="17.25" thickBot="1" x14ac:dyDescent="0.3">
      <c r="A37" s="19" t="s">
        <v>45</v>
      </c>
      <c r="B37" s="59" t="s">
        <v>11</v>
      </c>
      <c r="C37" s="136"/>
      <c r="D37" s="30"/>
      <c r="E37" s="30"/>
      <c r="F37" s="29"/>
      <c r="G37" s="90"/>
      <c r="H37" s="206"/>
      <c r="I37" s="30"/>
      <c r="J37" s="30"/>
    </row>
    <row r="38" spans="1:10" s="5" customFormat="1" ht="15.75" x14ac:dyDescent="0.25">
      <c r="A38" s="77" t="s">
        <v>58</v>
      </c>
      <c r="B38" s="61" t="s">
        <v>14</v>
      </c>
      <c r="C38" s="24">
        <f>SUM(D38:J38)</f>
        <v>3041</v>
      </c>
      <c r="D38" s="10">
        <v>0</v>
      </c>
      <c r="E38" s="10">
        <v>0</v>
      </c>
      <c r="F38" s="82">
        <v>0</v>
      </c>
      <c r="G38" s="10">
        <v>0</v>
      </c>
      <c r="H38" s="31">
        <v>3041</v>
      </c>
      <c r="I38" s="31">
        <v>0</v>
      </c>
      <c r="J38" s="31">
        <v>0</v>
      </c>
    </row>
    <row r="39" spans="1:10" s="5" customFormat="1" ht="15.75" x14ac:dyDescent="0.25">
      <c r="A39" s="77" t="s">
        <v>59</v>
      </c>
      <c r="B39" s="61" t="s">
        <v>15</v>
      </c>
      <c r="C39" s="24">
        <f>SUM(D39:J39)</f>
        <v>6146</v>
      </c>
      <c r="D39" s="10">
        <v>0</v>
      </c>
      <c r="E39" s="10">
        <v>0</v>
      </c>
      <c r="F39" s="10">
        <v>0</v>
      </c>
      <c r="G39" s="10">
        <v>0</v>
      </c>
      <c r="H39" s="31">
        <v>6146</v>
      </c>
      <c r="I39" s="31">
        <v>0</v>
      </c>
      <c r="J39" s="31">
        <v>0</v>
      </c>
    </row>
    <row r="40" spans="1:10" s="5" customFormat="1" ht="15.75" x14ac:dyDescent="0.25">
      <c r="A40" s="77" t="s">
        <v>60</v>
      </c>
      <c r="B40" s="61" t="s">
        <v>16</v>
      </c>
      <c r="C40" s="24">
        <f>SUM(D40:J40)</f>
        <v>6423</v>
      </c>
      <c r="D40" s="10">
        <v>0</v>
      </c>
      <c r="E40" s="10">
        <v>0</v>
      </c>
      <c r="F40" s="10">
        <v>0</v>
      </c>
      <c r="G40" s="10">
        <v>0</v>
      </c>
      <c r="H40" s="31">
        <v>6423</v>
      </c>
      <c r="I40" s="31">
        <v>0</v>
      </c>
      <c r="J40" s="31">
        <v>0</v>
      </c>
    </row>
    <row r="41" spans="1:10" s="5" customFormat="1" ht="15.75" x14ac:dyDescent="0.25">
      <c r="A41" s="77" t="s">
        <v>61</v>
      </c>
      <c r="B41" s="61" t="s">
        <v>18</v>
      </c>
      <c r="C41" s="24">
        <f>SUM(D41:J41)</f>
        <v>0</v>
      </c>
      <c r="D41" s="10">
        <v>0</v>
      </c>
      <c r="E41" s="10">
        <v>0</v>
      </c>
      <c r="F41" s="10">
        <v>0</v>
      </c>
      <c r="G41" s="10">
        <v>0</v>
      </c>
      <c r="H41" s="31">
        <v>0</v>
      </c>
      <c r="I41" s="31">
        <v>0</v>
      </c>
      <c r="J41" s="31">
        <v>0</v>
      </c>
    </row>
    <row r="42" spans="1:10" s="5" customFormat="1" ht="15.75" x14ac:dyDescent="0.25">
      <c r="A42" s="77" t="s">
        <v>62</v>
      </c>
      <c r="B42" s="61" t="s">
        <v>20</v>
      </c>
      <c r="C42" s="24">
        <f>SUM(D42:J42)</f>
        <v>22509</v>
      </c>
      <c r="D42" s="10">
        <v>0</v>
      </c>
      <c r="E42" s="10">
        <v>7202</v>
      </c>
      <c r="F42" s="10">
        <v>0</v>
      </c>
      <c r="G42" s="10">
        <v>0</v>
      </c>
      <c r="H42" s="31">
        <v>0</v>
      </c>
      <c r="I42" s="31">
        <v>15307</v>
      </c>
      <c r="J42" s="31">
        <v>0</v>
      </c>
    </row>
    <row r="43" spans="1:10" s="5" customFormat="1" ht="17.25" thickBot="1" x14ac:dyDescent="0.35">
      <c r="A43" s="77" t="s">
        <v>74</v>
      </c>
      <c r="B43" s="62" t="s">
        <v>3</v>
      </c>
      <c r="C43" s="139">
        <f>SUM(C38:C42)</f>
        <v>38119</v>
      </c>
      <c r="D43" s="33">
        <f t="shared" ref="D43:G43" si="25">SUM(D38:D42)</f>
        <v>0</v>
      </c>
      <c r="E43" s="33">
        <f>SUM(E38:E42)</f>
        <v>7202</v>
      </c>
      <c r="F43" s="21">
        <f t="shared" si="25"/>
        <v>0</v>
      </c>
      <c r="G43" s="21">
        <f t="shared" si="25"/>
        <v>0</v>
      </c>
      <c r="H43" s="84">
        <f t="shared" ref="H43" si="26">SUM(H38:H42)</f>
        <v>15610</v>
      </c>
      <c r="I43" s="33">
        <f t="shared" ref="I43:J43" si="27">SUM(I38:I42)</f>
        <v>15307</v>
      </c>
      <c r="J43" s="33">
        <f t="shared" si="27"/>
        <v>0</v>
      </c>
    </row>
    <row r="44" spans="1:10" s="5" customFormat="1" ht="17.25" thickBot="1" x14ac:dyDescent="0.3">
      <c r="A44" s="19" t="s">
        <v>46</v>
      </c>
      <c r="B44" s="59" t="s">
        <v>32</v>
      </c>
      <c r="C44" s="136"/>
      <c r="D44" s="30"/>
      <c r="E44" s="30"/>
      <c r="F44" s="29"/>
      <c r="G44" s="90"/>
      <c r="H44" s="206"/>
      <c r="I44" s="30"/>
      <c r="J44" s="30"/>
    </row>
    <row r="45" spans="1:10" s="5" customFormat="1" ht="15.75" x14ac:dyDescent="0.25">
      <c r="A45" s="77" t="s">
        <v>63</v>
      </c>
      <c r="B45" s="61" t="s">
        <v>14</v>
      </c>
      <c r="C45" s="24">
        <f>SUM(D45:J45)</f>
        <v>25617</v>
      </c>
      <c r="D45" s="10">
        <v>0</v>
      </c>
      <c r="E45" s="10">
        <v>0</v>
      </c>
      <c r="F45" s="82">
        <v>0</v>
      </c>
      <c r="G45" s="10">
        <v>0</v>
      </c>
      <c r="H45" s="31">
        <v>25617</v>
      </c>
      <c r="I45" s="31">
        <v>0</v>
      </c>
      <c r="J45" s="31">
        <v>0</v>
      </c>
    </row>
    <row r="46" spans="1:10" s="5" customFormat="1" ht="15.75" x14ac:dyDescent="0.25">
      <c r="A46" s="77" t="s">
        <v>64</v>
      </c>
      <c r="B46" s="61" t="s">
        <v>15</v>
      </c>
      <c r="C46" s="24">
        <f>SUM(D46:J46)</f>
        <v>9630</v>
      </c>
      <c r="D46" s="10">
        <v>0</v>
      </c>
      <c r="E46" s="10">
        <v>0</v>
      </c>
      <c r="F46" s="10">
        <v>0</v>
      </c>
      <c r="G46" s="10">
        <v>0</v>
      </c>
      <c r="H46" s="31">
        <v>9630</v>
      </c>
      <c r="I46" s="31">
        <v>0</v>
      </c>
      <c r="J46" s="31">
        <v>0</v>
      </c>
    </row>
    <row r="47" spans="1:10" s="5" customFormat="1" ht="15.75" x14ac:dyDescent="0.25">
      <c r="A47" s="77" t="s">
        <v>65</v>
      </c>
      <c r="B47" s="61" t="s">
        <v>16</v>
      </c>
      <c r="C47" s="24">
        <f>SUM(D47:J47)</f>
        <v>9907</v>
      </c>
      <c r="D47" s="10">
        <v>0</v>
      </c>
      <c r="E47" s="10">
        <v>0</v>
      </c>
      <c r="F47" s="10">
        <v>0</v>
      </c>
      <c r="G47" s="10">
        <v>0</v>
      </c>
      <c r="H47" s="31">
        <v>9907</v>
      </c>
      <c r="I47" s="31">
        <v>0</v>
      </c>
      <c r="J47" s="31">
        <v>0</v>
      </c>
    </row>
    <row r="48" spans="1:10" s="5" customFormat="1" ht="15.75" x14ac:dyDescent="0.25">
      <c r="A48" s="77" t="s">
        <v>66</v>
      </c>
      <c r="B48" s="61" t="s">
        <v>18</v>
      </c>
      <c r="C48" s="24">
        <f>SUM(D48:J48)</f>
        <v>0</v>
      </c>
      <c r="D48" s="10">
        <v>0</v>
      </c>
      <c r="E48" s="10">
        <v>0</v>
      </c>
      <c r="F48" s="10">
        <v>0</v>
      </c>
      <c r="G48" s="10">
        <v>0</v>
      </c>
      <c r="H48" s="31">
        <v>0</v>
      </c>
      <c r="I48" s="31">
        <v>0</v>
      </c>
      <c r="J48" s="31">
        <v>0</v>
      </c>
    </row>
    <row r="49" spans="1:10" s="5" customFormat="1" ht="15.75" x14ac:dyDescent="0.25">
      <c r="A49" s="77" t="s">
        <v>67</v>
      </c>
      <c r="B49" s="61" t="s">
        <v>20</v>
      </c>
      <c r="C49" s="24">
        <f>SUM(D49:J49)</f>
        <v>22509</v>
      </c>
      <c r="D49" s="10">
        <v>0</v>
      </c>
      <c r="E49" s="10">
        <v>7202</v>
      </c>
      <c r="F49" s="10">
        <v>0</v>
      </c>
      <c r="G49" s="10">
        <v>0</v>
      </c>
      <c r="H49" s="31">
        <v>0</v>
      </c>
      <c r="I49" s="31">
        <v>15307</v>
      </c>
      <c r="J49" s="31">
        <v>0</v>
      </c>
    </row>
    <row r="50" spans="1:10" s="5" customFormat="1" ht="17.25" thickBot="1" x14ac:dyDescent="0.35">
      <c r="A50" s="77" t="s">
        <v>75</v>
      </c>
      <c r="B50" s="62" t="s">
        <v>3</v>
      </c>
      <c r="C50" s="139">
        <f>SUM(C45:C49)</f>
        <v>67663</v>
      </c>
      <c r="D50" s="33">
        <f t="shared" ref="D50:G50" si="28">SUM(D45:D49)</f>
        <v>0</v>
      </c>
      <c r="E50" s="33">
        <f>SUM(E45:E49)</f>
        <v>7202</v>
      </c>
      <c r="F50" s="21">
        <f t="shared" si="28"/>
        <v>0</v>
      </c>
      <c r="G50" s="21">
        <f t="shared" si="28"/>
        <v>0</v>
      </c>
      <c r="H50" s="84">
        <f t="shared" ref="H50" si="29">SUM(H45:H49)</f>
        <v>45154</v>
      </c>
      <c r="I50" s="33">
        <f t="shared" ref="I50:J50" si="30">SUM(I45:I49)</f>
        <v>15307</v>
      </c>
      <c r="J50" s="33">
        <f t="shared" si="30"/>
        <v>0</v>
      </c>
    </row>
    <row r="51" spans="1:10" s="5" customFormat="1" ht="17.25" thickBot="1" x14ac:dyDescent="0.3">
      <c r="A51" s="19" t="s">
        <v>47</v>
      </c>
      <c r="B51" s="59" t="s">
        <v>33</v>
      </c>
      <c r="C51" s="136"/>
      <c r="D51" s="30"/>
      <c r="E51" s="30"/>
      <c r="F51" s="29"/>
      <c r="G51" s="90"/>
      <c r="H51" s="206"/>
      <c r="I51" s="30"/>
      <c r="J51" s="30"/>
    </row>
    <row r="52" spans="1:10" s="5" customFormat="1" ht="15.75" x14ac:dyDescent="0.25">
      <c r="A52" s="77" t="s">
        <v>68</v>
      </c>
      <c r="B52" s="61" t="s">
        <v>14</v>
      </c>
      <c r="C52" s="133">
        <f t="shared" ref="C52:J52" si="31">C45/C$14%</f>
        <v>0.26654754903613359</v>
      </c>
      <c r="D52" s="133">
        <f t="shared" si="31"/>
        <v>0</v>
      </c>
      <c r="E52" s="133">
        <f t="shared" si="31"/>
        <v>0</v>
      </c>
      <c r="F52" s="133">
        <f t="shared" si="31"/>
        <v>0</v>
      </c>
      <c r="G52" s="133">
        <f t="shared" si="31"/>
        <v>0</v>
      </c>
      <c r="H52" s="133">
        <f t="shared" si="31"/>
        <v>1.209684274151658</v>
      </c>
      <c r="I52" s="133">
        <f t="shared" si="31"/>
        <v>0</v>
      </c>
      <c r="J52" s="133">
        <f t="shared" si="31"/>
        <v>0</v>
      </c>
    </row>
    <row r="53" spans="1:10" s="5" customFormat="1" ht="15.75" x14ac:dyDescent="0.25">
      <c r="A53" s="77" t="s">
        <v>69</v>
      </c>
      <c r="B53" s="61" t="s">
        <v>15</v>
      </c>
      <c r="C53" s="133">
        <f>C46/C$14%</f>
        <v>0.10020115147042849</v>
      </c>
      <c r="D53" s="133">
        <f t="shared" ref="D53:J53" si="32">D46/D$14%</f>
        <v>0</v>
      </c>
      <c r="E53" s="133">
        <f t="shared" ref="E53" si="33">E46/E$14%</f>
        <v>0</v>
      </c>
      <c r="F53" s="133">
        <f t="shared" si="32"/>
        <v>0</v>
      </c>
      <c r="G53" s="133">
        <f t="shared" si="32"/>
        <v>0</v>
      </c>
      <c r="H53" s="133">
        <f t="shared" si="32"/>
        <v>0.45474722098920511</v>
      </c>
      <c r="I53" s="133">
        <f t="shared" si="32"/>
        <v>0</v>
      </c>
      <c r="J53" s="133">
        <f t="shared" si="32"/>
        <v>0</v>
      </c>
    </row>
    <row r="54" spans="1:10" s="5" customFormat="1" ht="15.75" x14ac:dyDescent="0.25">
      <c r="A54" s="77" t="s">
        <v>70</v>
      </c>
      <c r="B54" s="61" t="s">
        <v>16</v>
      </c>
      <c r="C54" s="133">
        <f>C47/C$14%</f>
        <v>0.10308336527700261</v>
      </c>
      <c r="D54" s="133">
        <f t="shared" ref="D54:J54" si="34">D47/D$14%</f>
        <v>0</v>
      </c>
      <c r="E54" s="133">
        <f t="shared" ref="E54" si="35">E47/E$14%</f>
        <v>0</v>
      </c>
      <c r="F54" s="133">
        <f t="shared" si="34"/>
        <v>0</v>
      </c>
      <c r="G54" s="133">
        <f t="shared" si="34"/>
        <v>0</v>
      </c>
      <c r="H54" s="133">
        <f t="shared" si="34"/>
        <v>0.46782769660852075</v>
      </c>
      <c r="I54" s="133">
        <f t="shared" si="34"/>
        <v>0</v>
      </c>
      <c r="J54" s="133">
        <f t="shared" si="34"/>
        <v>0</v>
      </c>
    </row>
    <row r="55" spans="1:10" s="5" customFormat="1" ht="15.75" x14ac:dyDescent="0.25">
      <c r="A55" s="77" t="s">
        <v>71</v>
      </c>
      <c r="B55" s="61" t="s">
        <v>18</v>
      </c>
      <c r="C55" s="133">
        <f>C48/C$14%</f>
        <v>0</v>
      </c>
      <c r="D55" s="133">
        <f t="shared" ref="D55:J55" si="36">D48/D$14%</f>
        <v>0</v>
      </c>
      <c r="E55" s="133">
        <f t="shared" ref="E55" si="37">E48/E$14%</f>
        <v>0</v>
      </c>
      <c r="F55" s="133">
        <f t="shared" si="36"/>
        <v>0</v>
      </c>
      <c r="G55" s="133">
        <f t="shared" si="36"/>
        <v>0</v>
      </c>
      <c r="H55" s="133">
        <f t="shared" si="36"/>
        <v>0</v>
      </c>
      <c r="I55" s="133">
        <f t="shared" si="36"/>
        <v>0</v>
      </c>
      <c r="J55" s="133">
        <f t="shared" si="36"/>
        <v>0</v>
      </c>
    </row>
    <row r="56" spans="1:10" s="5" customFormat="1" ht="16.5" thickBot="1" x14ac:dyDescent="0.3">
      <c r="A56" s="77" t="s">
        <v>72</v>
      </c>
      <c r="B56" s="63" t="s">
        <v>20</v>
      </c>
      <c r="C56" s="133">
        <f>C49/C$14%</f>
        <v>0.2342084858201324</v>
      </c>
      <c r="D56" s="133">
        <f t="shared" ref="D56:J56" si="38">D49/D$14%</f>
        <v>0</v>
      </c>
      <c r="E56" s="133">
        <f t="shared" ref="E56" si="39">E49/E$14%</f>
        <v>0.64848589079468777</v>
      </c>
      <c r="F56" s="133">
        <f t="shared" si="38"/>
        <v>0</v>
      </c>
      <c r="G56" s="133">
        <f>G49/G$14%</f>
        <v>0</v>
      </c>
      <c r="H56" s="133">
        <f>H49/H$14%</f>
        <v>0</v>
      </c>
      <c r="I56" s="133">
        <f t="shared" si="38"/>
        <v>0.56343990238174557</v>
      </c>
      <c r="J56" s="133">
        <f t="shared" si="38"/>
        <v>0</v>
      </c>
    </row>
    <row r="57" spans="1:10" s="5" customFormat="1" ht="17.25" thickBot="1" x14ac:dyDescent="0.3">
      <c r="A57" s="26">
        <v>6</v>
      </c>
      <c r="B57" s="59" t="s">
        <v>43</v>
      </c>
      <c r="C57" s="136"/>
      <c r="D57" s="30"/>
      <c r="E57" s="30"/>
      <c r="F57" s="29"/>
      <c r="G57" s="90"/>
      <c r="H57" s="206"/>
      <c r="I57" s="30"/>
      <c r="J57" s="30"/>
    </row>
    <row r="58" spans="1:10" s="5" customFormat="1" ht="15.75" x14ac:dyDescent="0.25">
      <c r="A58" s="76" t="s">
        <v>76</v>
      </c>
      <c r="B58" s="60" t="s">
        <v>35</v>
      </c>
      <c r="C58" s="24">
        <f>SUM(D58:J58)</f>
        <v>1652</v>
      </c>
      <c r="D58" s="99">
        <f>10</f>
        <v>10</v>
      </c>
      <c r="E58" s="99">
        <f>43+92+15</f>
        <v>150</v>
      </c>
      <c r="F58" s="82">
        <f>25+65</f>
        <v>90</v>
      </c>
      <c r="G58" s="82">
        <f>8+8</f>
        <v>16</v>
      </c>
      <c r="H58" s="82">
        <f>118+185+74+32+22</f>
        <v>431</v>
      </c>
      <c r="I58" s="82">
        <f>15+184+48+83+37+51+14</f>
        <v>432</v>
      </c>
      <c r="J58" s="99">
        <f>117+212+81+67+29+17</f>
        <v>523</v>
      </c>
    </row>
    <row r="59" spans="1:10" s="5" customFormat="1" ht="16.5" thickBot="1" x14ac:dyDescent="0.3">
      <c r="A59" s="76" t="s">
        <v>77</v>
      </c>
      <c r="B59" s="63" t="s">
        <v>21</v>
      </c>
      <c r="C59" s="24">
        <f>SUM(D59:J59)</f>
        <v>29407000</v>
      </c>
      <c r="D59" s="99">
        <f>120000</f>
        <v>120000</v>
      </c>
      <c r="E59" s="99">
        <f>1062000+2117000+258000</f>
        <v>3437000</v>
      </c>
      <c r="F59" s="105">
        <f>515000+1349000</f>
        <v>1864000</v>
      </c>
      <c r="G59" s="82">
        <f>195000+222000</f>
        <v>417000</v>
      </c>
      <c r="H59" s="82">
        <f>2001000+3125000+1258000+544000+374000</f>
        <v>7302000</v>
      </c>
      <c r="I59" s="82">
        <f>255000+3030000+788000+1387000+627000+831000+646000</f>
        <v>7564000</v>
      </c>
      <c r="J59" s="99">
        <f>1944000+3546000+1365000+1099000+486000+263000</f>
        <v>8703000</v>
      </c>
    </row>
    <row r="60" spans="1:10" s="5" customFormat="1" ht="17.25" thickBot="1" x14ac:dyDescent="0.3">
      <c r="A60" s="26">
        <v>7</v>
      </c>
      <c r="B60" s="20" t="s">
        <v>48</v>
      </c>
      <c r="C60" s="136"/>
      <c r="D60" s="30"/>
      <c r="E60" s="30"/>
      <c r="F60" s="29"/>
      <c r="G60" s="90"/>
      <c r="H60" s="206"/>
      <c r="I60" s="30"/>
      <c r="J60" s="30"/>
    </row>
    <row r="61" spans="1:10" s="5" customFormat="1" ht="15.75" x14ac:dyDescent="0.25">
      <c r="A61" s="77">
        <v>7.1</v>
      </c>
      <c r="B61" s="60" t="s">
        <v>51</v>
      </c>
      <c r="C61" s="130">
        <f>SUM(D61:J61)</f>
        <v>6236792.222222222</v>
      </c>
      <c r="D61" s="82">
        <f t="shared" ref="D61:J61" si="40">D63*D15</f>
        <v>0</v>
      </c>
      <c r="E61" s="82">
        <f t="shared" si="40"/>
        <v>0</v>
      </c>
      <c r="F61" s="82">
        <f t="shared" si="40"/>
        <v>0</v>
      </c>
      <c r="G61" s="82">
        <f t="shared" si="40"/>
        <v>0</v>
      </c>
      <c r="H61" s="130">
        <f t="shared" si="40"/>
        <v>2117660</v>
      </c>
      <c r="I61" s="82">
        <f t="shared" si="40"/>
        <v>2716705</v>
      </c>
      <c r="J61" s="82">
        <f t="shared" si="40"/>
        <v>1402427.2222222222</v>
      </c>
    </row>
    <row r="62" spans="1:10" s="5" customFormat="1" ht="15.75" x14ac:dyDescent="0.25">
      <c r="A62" s="77">
        <v>7.2</v>
      </c>
      <c r="B62" s="61" t="s">
        <v>52</v>
      </c>
      <c r="C62" s="130">
        <f>SUM(D62:J62)</f>
        <v>3373875.777777778</v>
      </c>
      <c r="D62" s="96">
        <f t="shared" ref="D62:J62" si="41">D14-D61</f>
        <v>170737</v>
      </c>
      <c r="E62" s="96">
        <f t="shared" si="41"/>
        <v>1110587</v>
      </c>
      <c r="F62" s="96">
        <f t="shared" si="41"/>
        <v>570280</v>
      </c>
      <c r="G62" s="96">
        <f t="shared" si="41"/>
        <v>400330</v>
      </c>
      <c r="H62" s="130">
        <f t="shared" si="41"/>
        <v>0</v>
      </c>
      <c r="I62" s="96">
        <f t="shared" si="41"/>
        <v>0</v>
      </c>
      <c r="J62" s="96">
        <f t="shared" si="41"/>
        <v>1121941.7777777778</v>
      </c>
    </row>
    <row r="63" spans="1:10" s="5" customFormat="1" ht="15.75" x14ac:dyDescent="0.25">
      <c r="A63" s="77">
        <v>7.3</v>
      </c>
      <c r="B63" s="64" t="s">
        <v>49</v>
      </c>
      <c r="C63" s="24">
        <f>SUM(D63:J63)</f>
        <v>1539</v>
      </c>
      <c r="D63" s="31">
        <v>0</v>
      </c>
      <c r="E63" s="31">
        <v>0</v>
      </c>
      <c r="F63" s="10">
        <v>0</v>
      </c>
      <c r="G63" s="10">
        <v>0</v>
      </c>
      <c r="H63" s="82">
        <v>633</v>
      </c>
      <c r="I63" s="82">
        <f t="shared" ref="I63" si="42">I13</f>
        <v>531</v>
      </c>
      <c r="J63" s="82">
        <v>375</v>
      </c>
    </row>
    <row r="64" spans="1:10" s="5" customFormat="1" ht="15.75" x14ac:dyDescent="0.25">
      <c r="A64" s="77">
        <v>7.4</v>
      </c>
      <c r="B64" s="64" t="s">
        <v>50</v>
      </c>
      <c r="C64" s="24">
        <f>SUM(D64:J64)</f>
        <v>1129</v>
      </c>
      <c r="D64" s="31">
        <f t="shared" ref="D64:G64" si="43">D13</f>
        <v>101</v>
      </c>
      <c r="E64" s="31">
        <f t="shared" si="43"/>
        <v>359</v>
      </c>
      <c r="F64" s="10">
        <f t="shared" si="43"/>
        <v>198</v>
      </c>
      <c r="G64" s="10">
        <f t="shared" si="43"/>
        <v>171</v>
      </c>
      <c r="H64" s="82">
        <f>H13-H63</f>
        <v>0</v>
      </c>
      <c r="I64" s="82">
        <f t="shared" ref="I64:J64" si="44">I13-I63</f>
        <v>0</v>
      </c>
      <c r="J64" s="82">
        <f t="shared" si="44"/>
        <v>300</v>
      </c>
    </row>
  </sheetData>
  <mergeCells count="4">
    <mergeCell ref="A1:F1"/>
    <mergeCell ref="E3:G3"/>
    <mergeCell ref="H3:J3"/>
    <mergeCell ref="D2:J2"/>
  </mergeCells>
  <printOptions horizontalCentered="1" verticalCentered="1"/>
  <pageMargins left="0.26" right="0.196850393700787" top="0.196850393700787" bottom="0.196850393700787" header="0.196850393700787" footer="0.196850393700787"/>
  <pageSetup paperSize="9" scale="52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M1"/>
    </sheetView>
  </sheetViews>
  <sheetFormatPr defaultColWidth="15" defaultRowHeight="13.5" x14ac:dyDescent="0.25"/>
  <cols>
    <col min="1" max="1" width="10.5703125" bestFit="1" customWidth="1"/>
    <col min="2" max="2" width="55.140625" bestFit="1" customWidth="1"/>
    <col min="3" max="3" width="12.85546875" style="4" bestFit="1" customWidth="1"/>
    <col min="4" max="5" width="11" style="4" bestFit="1" customWidth="1"/>
    <col min="6" max="6" width="11" style="4" customWidth="1"/>
    <col min="7" max="7" width="11" style="4" bestFit="1" customWidth="1"/>
    <col min="8" max="8" width="15.85546875" style="4" bestFit="1" customWidth="1"/>
    <col min="9" max="9" width="11" style="4" bestFit="1" customWidth="1"/>
    <col min="10" max="10" width="12.28515625" style="4" bestFit="1" customWidth="1"/>
    <col min="11" max="11" width="15" style="4"/>
    <col min="12" max="12" width="11" style="4" bestFit="1" customWidth="1"/>
    <col min="13" max="13" width="15.28515625" style="4" customWidth="1"/>
    <col min="14" max="16" width="10.140625" style="4" bestFit="1" customWidth="1"/>
  </cols>
  <sheetData>
    <row r="1" spans="1:16" ht="18.75" x14ac:dyDescent="0.2">
      <c r="A1" s="328" t="s">
        <v>130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/>
      <c r="O1"/>
      <c r="P1"/>
    </row>
    <row r="2" spans="1:16" ht="19.5" thickBot="1" x14ac:dyDescent="0.3">
      <c r="B2" s="18" t="s">
        <v>92</v>
      </c>
      <c r="C2" s="38">
        <f>Prayas!C2</f>
        <v>42440</v>
      </c>
      <c r="D2" s="38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7.25" thickBot="1" x14ac:dyDescent="0.35">
      <c r="A3" s="72" t="s">
        <v>0</v>
      </c>
      <c r="B3" s="52" t="s">
        <v>80</v>
      </c>
      <c r="C3" s="311" t="s">
        <v>125</v>
      </c>
      <c r="D3" s="319" t="s">
        <v>78</v>
      </c>
      <c r="E3" s="320"/>
      <c r="F3" s="325" t="s">
        <v>81</v>
      </c>
      <c r="G3" s="326"/>
      <c r="H3" s="326"/>
      <c r="I3" s="322" t="s">
        <v>86</v>
      </c>
      <c r="J3" s="323"/>
      <c r="K3" s="323"/>
      <c r="L3" s="324"/>
      <c r="M3" s="296" t="s">
        <v>126</v>
      </c>
      <c r="N3" s="316" t="s">
        <v>89</v>
      </c>
      <c r="O3" s="317"/>
      <c r="P3" s="318"/>
    </row>
    <row r="4" spans="1:16" ht="17.25" thickBot="1" x14ac:dyDescent="0.25">
      <c r="A4" s="72"/>
      <c r="B4" s="78" t="s">
        <v>79</v>
      </c>
      <c r="C4" s="311" t="s">
        <v>140</v>
      </c>
      <c r="D4" s="122" t="s">
        <v>78</v>
      </c>
      <c r="E4" s="122" t="s">
        <v>127</v>
      </c>
      <c r="F4" s="307" t="s">
        <v>82</v>
      </c>
      <c r="G4" s="307" t="s">
        <v>83</v>
      </c>
      <c r="H4" s="307" t="s">
        <v>84</v>
      </c>
      <c r="I4" s="293" t="s">
        <v>149</v>
      </c>
      <c r="J4" s="293" t="s">
        <v>147</v>
      </c>
      <c r="K4" s="293" t="s">
        <v>87</v>
      </c>
      <c r="L4" s="293" t="s">
        <v>118</v>
      </c>
      <c r="M4" s="297" t="s">
        <v>108</v>
      </c>
      <c r="N4" s="298" t="s">
        <v>112</v>
      </c>
      <c r="O4" s="299" t="s">
        <v>113</v>
      </c>
      <c r="P4" s="300" t="s">
        <v>114</v>
      </c>
    </row>
    <row r="5" spans="1:16" ht="17.25" thickBot="1" x14ac:dyDescent="0.25">
      <c r="A5" s="26">
        <v>1</v>
      </c>
      <c r="B5" s="53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5.75" x14ac:dyDescent="0.25">
      <c r="A6" s="73">
        <v>1.1000000000000001</v>
      </c>
      <c r="B6" s="54" t="s">
        <v>2</v>
      </c>
      <c r="C6" s="24">
        <f>SUM(D6:P6)</f>
        <v>2548</v>
      </c>
      <c r="D6" s="82">
        <f>SUM(D7:D10)</f>
        <v>105</v>
      </c>
      <c r="E6" s="82">
        <f t="shared" ref="E6:O6" si="0">SUM(E7:E10)</f>
        <v>514</v>
      </c>
      <c r="F6" s="82">
        <f t="shared" si="0"/>
        <v>214</v>
      </c>
      <c r="G6" s="82">
        <f t="shared" si="0"/>
        <v>241</v>
      </c>
      <c r="H6" s="82">
        <f t="shared" si="0"/>
        <v>447</v>
      </c>
      <c r="I6" s="82">
        <f t="shared" si="0"/>
        <v>72</v>
      </c>
      <c r="J6" s="82">
        <f t="shared" ref="J6" si="1">SUM(J7:J10)</f>
        <v>72</v>
      </c>
      <c r="K6" s="82">
        <f t="shared" si="0"/>
        <v>355</v>
      </c>
      <c r="L6" s="82">
        <f t="shared" si="0"/>
        <v>197</v>
      </c>
      <c r="M6" s="82">
        <f t="shared" si="0"/>
        <v>251</v>
      </c>
      <c r="N6" s="82">
        <f t="shared" si="0"/>
        <v>14</v>
      </c>
      <c r="O6" s="82">
        <f t="shared" si="0"/>
        <v>24</v>
      </c>
      <c r="P6" s="82">
        <f t="shared" ref="P6" si="2">SUM(P7:P10)</f>
        <v>42</v>
      </c>
    </row>
    <row r="7" spans="1:16" ht="15.75" x14ac:dyDescent="0.25">
      <c r="A7" s="74">
        <v>1.2</v>
      </c>
      <c r="B7" s="24" t="s">
        <v>4</v>
      </c>
      <c r="C7" s="24">
        <f>SUM(D7:P7)</f>
        <v>1669</v>
      </c>
      <c r="D7" s="31">
        <v>31</v>
      </c>
      <c r="E7" s="31">
        <v>514</v>
      </c>
      <c r="F7" s="31">
        <v>60</v>
      </c>
      <c r="G7" s="31">
        <v>135</v>
      </c>
      <c r="H7" s="31">
        <v>195</v>
      </c>
      <c r="I7" s="31">
        <v>22</v>
      </c>
      <c r="J7" s="31">
        <v>28</v>
      </c>
      <c r="K7" s="31">
        <v>217</v>
      </c>
      <c r="L7" s="31">
        <v>197</v>
      </c>
      <c r="M7" s="31">
        <v>197</v>
      </c>
      <c r="N7" s="31">
        <v>7</v>
      </c>
      <c r="O7" s="31">
        <v>24</v>
      </c>
      <c r="P7" s="31">
        <v>42</v>
      </c>
    </row>
    <row r="8" spans="1:16" ht="15.75" x14ac:dyDescent="0.25">
      <c r="A8" s="74">
        <v>1.3</v>
      </c>
      <c r="B8" s="24" t="s">
        <v>5</v>
      </c>
      <c r="C8" s="24">
        <f>SUM(D8:P8)</f>
        <v>357</v>
      </c>
      <c r="D8" s="31">
        <v>23</v>
      </c>
      <c r="E8" s="31">
        <v>0</v>
      </c>
      <c r="F8" s="31">
        <v>42</v>
      </c>
      <c r="G8" s="31">
        <v>52</v>
      </c>
      <c r="H8" s="31">
        <v>115</v>
      </c>
      <c r="I8" s="31">
        <v>19</v>
      </c>
      <c r="J8" s="31">
        <v>10</v>
      </c>
      <c r="K8" s="31">
        <v>49</v>
      </c>
      <c r="L8" s="31">
        <v>0</v>
      </c>
      <c r="M8" s="31">
        <v>40</v>
      </c>
      <c r="N8" s="31">
        <v>7</v>
      </c>
      <c r="O8" s="31">
        <v>0</v>
      </c>
      <c r="P8" s="31">
        <v>0</v>
      </c>
    </row>
    <row r="9" spans="1:16" ht="15.75" x14ac:dyDescent="0.25">
      <c r="A9" s="74">
        <v>1.4</v>
      </c>
      <c r="B9" s="24" t="s">
        <v>6</v>
      </c>
      <c r="C9" s="24">
        <f>SUM(D9:P9)</f>
        <v>169</v>
      </c>
      <c r="D9" s="31">
        <v>19</v>
      </c>
      <c r="E9" s="31">
        <v>0</v>
      </c>
      <c r="F9" s="31">
        <v>18</v>
      </c>
      <c r="G9" s="31">
        <v>6</v>
      </c>
      <c r="H9" s="31">
        <v>59</v>
      </c>
      <c r="I9" s="31">
        <v>14</v>
      </c>
      <c r="J9" s="31">
        <v>5</v>
      </c>
      <c r="K9" s="31">
        <v>36</v>
      </c>
      <c r="L9" s="31">
        <v>0</v>
      </c>
      <c r="M9" s="31">
        <v>12</v>
      </c>
      <c r="N9" s="31">
        <v>0</v>
      </c>
      <c r="O9" s="31">
        <v>0</v>
      </c>
      <c r="P9" s="31">
        <v>0</v>
      </c>
    </row>
    <row r="10" spans="1:16" ht="16.5" thickBot="1" x14ac:dyDescent="0.3">
      <c r="A10" s="74">
        <v>1.5</v>
      </c>
      <c r="B10" s="24" t="s">
        <v>7</v>
      </c>
      <c r="C10" s="24">
        <f>SUM(D10:P10)</f>
        <v>353</v>
      </c>
      <c r="D10" s="31">
        <v>32</v>
      </c>
      <c r="E10" s="31">
        <v>0</v>
      </c>
      <c r="F10" s="31">
        <v>94</v>
      </c>
      <c r="G10" s="31">
        <v>48</v>
      </c>
      <c r="H10" s="31">
        <v>78</v>
      </c>
      <c r="I10" s="31">
        <v>17</v>
      </c>
      <c r="J10" s="31">
        <v>29</v>
      </c>
      <c r="K10" s="31">
        <v>53</v>
      </c>
      <c r="L10" s="31">
        <v>0</v>
      </c>
      <c r="M10" s="31">
        <v>2</v>
      </c>
      <c r="N10" s="31">
        <v>0</v>
      </c>
      <c r="O10" s="31">
        <v>0</v>
      </c>
      <c r="P10" s="31">
        <v>0</v>
      </c>
    </row>
    <row r="11" spans="1:16" ht="17.25" thickBot="1" x14ac:dyDescent="0.3">
      <c r="A11" s="26">
        <v>2</v>
      </c>
      <c r="B11" s="53" t="s">
        <v>9</v>
      </c>
      <c r="C11" s="12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6.5" x14ac:dyDescent="0.25">
      <c r="A12" s="73">
        <v>2.1</v>
      </c>
      <c r="B12" s="56" t="s">
        <v>10</v>
      </c>
      <c r="C12" s="27">
        <f>SUM(D12:P12)</f>
        <v>2548</v>
      </c>
      <c r="D12" s="82">
        <f t="shared" ref="D12:E12" si="3">D6</f>
        <v>105</v>
      </c>
      <c r="E12" s="82">
        <f t="shared" si="3"/>
        <v>514</v>
      </c>
      <c r="F12" s="82">
        <f t="shared" ref="F12:M12" si="4">F6</f>
        <v>214</v>
      </c>
      <c r="G12" s="82">
        <f t="shared" si="4"/>
        <v>241</v>
      </c>
      <c r="H12" s="82">
        <f t="shared" si="4"/>
        <v>447</v>
      </c>
      <c r="I12" s="82">
        <f t="shared" ref="I12:J12" si="5">I6</f>
        <v>72</v>
      </c>
      <c r="J12" s="82">
        <f t="shared" si="5"/>
        <v>72</v>
      </c>
      <c r="K12" s="82">
        <f t="shared" si="4"/>
        <v>355</v>
      </c>
      <c r="L12" s="82">
        <f t="shared" ref="L12" si="6">L6</f>
        <v>197</v>
      </c>
      <c r="M12" s="82">
        <f t="shared" si="4"/>
        <v>251</v>
      </c>
      <c r="N12" s="82">
        <f t="shared" ref="N12:O12" si="7">N6</f>
        <v>14</v>
      </c>
      <c r="O12" s="82">
        <f t="shared" si="7"/>
        <v>24</v>
      </c>
      <c r="P12" s="82">
        <f t="shared" ref="P12" si="8">P6</f>
        <v>42</v>
      </c>
    </row>
    <row r="13" spans="1:16" ht="16.5" x14ac:dyDescent="0.3">
      <c r="A13" s="74">
        <v>2.2000000000000002</v>
      </c>
      <c r="B13" s="24" t="s">
        <v>12</v>
      </c>
      <c r="C13" s="195">
        <f>SUM(D13:P13)</f>
        <v>30635995</v>
      </c>
      <c r="D13" s="147">
        <v>1585370</v>
      </c>
      <c r="E13" s="147">
        <v>3523227</v>
      </c>
      <c r="F13" s="147">
        <v>2805115</v>
      </c>
      <c r="G13" s="147">
        <v>2561439</v>
      </c>
      <c r="H13" s="147">
        <v>4767346</v>
      </c>
      <c r="I13" s="147">
        <v>1544000</v>
      </c>
      <c r="J13" s="147">
        <v>1566000</v>
      </c>
      <c r="K13" s="147">
        <v>4955538</v>
      </c>
      <c r="L13" s="147">
        <v>2266195</v>
      </c>
      <c r="M13" s="147">
        <v>3731300</v>
      </c>
      <c r="N13" s="147">
        <v>215465</v>
      </c>
      <c r="O13" s="147">
        <v>401000</v>
      </c>
      <c r="P13" s="147">
        <v>714000</v>
      </c>
    </row>
    <row r="14" spans="1:16" ht="15.75" x14ac:dyDescent="0.25">
      <c r="A14" s="74">
        <v>2.2999999999999998</v>
      </c>
      <c r="B14" s="24" t="s">
        <v>13</v>
      </c>
      <c r="C14" s="130">
        <f>C13/C12</f>
        <v>12023.545918367347</v>
      </c>
      <c r="D14" s="85">
        <f>D13/D12</f>
        <v>15098.761904761905</v>
      </c>
      <c r="E14" s="85">
        <f t="shared" ref="E14" si="9">E13/E12</f>
        <v>6854.5272373540856</v>
      </c>
      <c r="F14" s="85">
        <f>F13/F12</f>
        <v>13108.014018691589</v>
      </c>
      <c r="G14" s="85">
        <f t="shared" ref="G14:M14" si="10">G13/G12</f>
        <v>10628.377593360996</v>
      </c>
      <c r="H14" s="85">
        <f t="shared" si="10"/>
        <v>10665.203579418345</v>
      </c>
      <c r="I14" s="85">
        <f t="shared" ref="I14:J14" si="11">I13/I12</f>
        <v>21444.444444444445</v>
      </c>
      <c r="J14" s="85">
        <f t="shared" si="11"/>
        <v>21750</v>
      </c>
      <c r="K14" s="85">
        <f t="shared" si="10"/>
        <v>13959.261971830985</v>
      </c>
      <c r="L14" s="85">
        <f t="shared" ref="L14" si="12">L13/L12</f>
        <v>11503.527918781725</v>
      </c>
      <c r="M14" s="85">
        <f t="shared" si="10"/>
        <v>14865.737051792828</v>
      </c>
      <c r="N14" s="85">
        <f t="shared" ref="N14:O14" si="13">N13/N12</f>
        <v>15390.357142857143</v>
      </c>
      <c r="O14" s="85">
        <f t="shared" si="13"/>
        <v>16708.333333333332</v>
      </c>
      <c r="P14" s="85">
        <f t="shared" ref="P14" si="14">P13/P12</f>
        <v>17000</v>
      </c>
    </row>
    <row r="15" spans="1:16" ht="15.75" x14ac:dyDescent="0.25">
      <c r="A15" s="74">
        <v>2.4</v>
      </c>
      <c r="B15" s="24" t="s">
        <v>28</v>
      </c>
      <c r="C15" s="24">
        <f>SUM(D15:P15)</f>
        <v>9</v>
      </c>
      <c r="D15" s="86">
        <v>0</v>
      </c>
      <c r="E15" s="101">
        <v>1</v>
      </c>
      <c r="F15" s="86">
        <v>1</v>
      </c>
      <c r="G15" s="12">
        <v>1</v>
      </c>
      <c r="H15" s="101">
        <v>1</v>
      </c>
      <c r="I15" s="101">
        <v>1</v>
      </c>
      <c r="J15" s="101">
        <v>1</v>
      </c>
      <c r="K15" s="101">
        <v>1</v>
      </c>
      <c r="L15" s="101">
        <v>1</v>
      </c>
      <c r="M15" s="101">
        <v>1</v>
      </c>
      <c r="N15" s="101">
        <v>0</v>
      </c>
      <c r="O15" s="101">
        <v>0</v>
      </c>
      <c r="P15" s="101">
        <v>0</v>
      </c>
    </row>
    <row r="16" spans="1:16" ht="15.75" x14ac:dyDescent="0.25">
      <c r="A16" s="74">
        <v>2.5</v>
      </c>
      <c r="B16" s="24" t="s">
        <v>29</v>
      </c>
      <c r="C16" s="130">
        <v>0</v>
      </c>
      <c r="D16" s="85" t="e">
        <f>D12/D15</f>
        <v>#DIV/0!</v>
      </c>
      <c r="E16" s="85">
        <f t="shared" ref="E16" si="15">E12/E15</f>
        <v>514</v>
      </c>
      <c r="F16" s="85">
        <f>F12/F15</f>
        <v>214</v>
      </c>
      <c r="G16" s="85">
        <f t="shared" ref="G16:M16" si="16">G12/G15</f>
        <v>241</v>
      </c>
      <c r="H16" s="85">
        <f t="shared" si="16"/>
        <v>447</v>
      </c>
      <c r="I16" s="85">
        <f t="shared" ref="I16:J16" si="17">I12/I15</f>
        <v>72</v>
      </c>
      <c r="J16" s="85">
        <f t="shared" si="17"/>
        <v>72</v>
      </c>
      <c r="K16" s="85">
        <f t="shared" si="16"/>
        <v>355</v>
      </c>
      <c r="L16" s="85">
        <f t="shared" ref="L16" si="18">L12/L15</f>
        <v>197</v>
      </c>
      <c r="M16" s="85">
        <f t="shared" si="16"/>
        <v>251</v>
      </c>
      <c r="N16" s="85" t="e">
        <f t="shared" ref="N16:O16" si="19">N12/N15</f>
        <v>#DIV/0!</v>
      </c>
      <c r="O16" s="85" t="e">
        <f t="shared" si="19"/>
        <v>#DIV/0!</v>
      </c>
      <c r="P16" s="85" t="e">
        <f t="shared" ref="P16" si="20">P12/P15</f>
        <v>#DIV/0!</v>
      </c>
    </row>
    <row r="17" spans="1:16" ht="16.5" thickBot="1" x14ac:dyDescent="0.3">
      <c r="A17" s="74">
        <v>2.6</v>
      </c>
      <c r="B17" s="55" t="s">
        <v>30</v>
      </c>
      <c r="C17" s="130">
        <v>0</v>
      </c>
      <c r="D17" s="85" t="e">
        <f>D13/D15</f>
        <v>#DIV/0!</v>
      </c>
      <c r="E17" s="85">
        <f t="shared" ref="E17" si="21">E13/E15</f>
        <v>3523227</v>
      </c>
      <c r="F17" s="85">
        <f>F13/F15</f>
        <v>2805115</v>
      </c>
      <c r="G17" s="85">
        <f t="shared" ref="G17:M17" si="22">G13/G15</f>
        <v>2561439</v>
      </c>
      <c r="H17" s="85">
        <f t="shared" si="22"/>
        <v>4767346</v>
      </c>
      <c r="I17" s="85">
        <f t="shared" ref="I17:J17" si="23">I13/I15</f>
        <v>1544000</v>
      </c>
      <c r="J17" s="85">
        <f t="shared" si="23"/>
        <v>1566000</v>
      </c>
      <c r="K17" s="85">
        <f t="shared" si="22"/>
        <v>4955538</v>
      </c>
      <c r="L17" s="85">
        <f t="shared" ref="L17" si="24">L13/L15</f>
        <v>2266195</v>
      </c>
      <c r="M17" s="85">
        <f t="shared" si="22"/>
        <v>3731300</v>
      </c>
      <c r="N17" s="85" t="e">
        <f t="shared" ref="N17:O17" si="25">N13/N15</f>
        <v>#DIV/0!</v>
      </c>
      <c r="O17" s="85" t="e">
        <f t="shared" si="25"/>
        <v>#DIV/0!</v>
      </c>
      <c r="P17" s="85" t="e">
        <f t="shared" ref="P17" si="26">P13/P15</f>
        <v>#DIV/0!</v>
      </c>
    </row>
    <row r="18" spans="1:16" ht="17.25" thickBot="1" x14ac:dyDescent="0.3">
      <c r="A18" s="26">
        <v>3</v>
      </c>
      <c r="B18" s="53" t="s">
        <v>17</v>
      </c>
      <c r="C18" s="1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6.5" x14ac:dyDescent="0.25">
      <c r="A19" s="74">
        <v>3.1</v>
      </c>
      <c r="B19" s="54" t="s">
        <v>19</v>
      </c>
      <c r="C19" s="27">
        <f>SUM(D19:P19)</f>
        <v>300</v>
      </c>
      <c r="D19" s="31">
        <v>85</v>
      </c>
      <c r="E19" s="31">
        <v>0</v>
      </c>
      <c r="F19" s="31">
        <v>31</v>
      </c>
      <c r="G19" s="31">
        <v>0</v>
      </c>
      <c r="H19" s="31">
        <v>8</v>
      </c>
      <c r="I19" s="31">
        <v>25</v>
      </c>
      <c r="J19" s="31">
        <v>72</v>
      </c>
      <c r="K19" s="31">
        <v>21</v>
      </c>
      <c r="L19" s="31">
        <v>9</v>
      </c>
      <c r="M19" s="31">
        <v>7</v>
      </c>
      <c r="N19" s="31">
        <v>7</v>
      </c>
      <c r="O19" s="31">
        <v>0</v>
      </c>
      <c r="P19" s="31">
        <v>35</v>
      </c>
    </row>
    <row r="20" spans="1:16" ht="16.5" x14ac:dyDescent="0.3">
      <c r="A20" s="74">
        <v>3.2</v>
      </c>
      <c r="B20" s="24" t="s">
        <v>21</v>
      </c>
      <c r="C20" s="146">
        <f>SUM(D20:P20)</f>
        <v>5426000</v>
      </c>
      <c r="D20" s="150">
        <v>1330000</v>
      </c>
      <c r="E20" s="150">
        <v>0</v>
      </c>
      <c r="F20" s="150">
        <v>555000</v>
      </c>
      <c r="G20" s="150">
        <v>0</v>
      </c>
      <c r="H20" s="150">
        <v>120000</v>
      </c>
      <c r="I20" s="150">
        <v>528000</v>
      </c>
      <c r="J20" s="150">
        <v>1566000</v>
      </c>
      <c r="K20" s="150">
        <v>320000</v>
      </c>
      <c r="L20" s="150">
        <v>135000</v>
      </c>
      <c r="M20" s="150">
        <v>170000</v>
      </c>
      <c r="N20" s="150">
        <v>107000</v>
      </c>
      <c r="O20" s="150">
        <v>0</v>
      </c>
      <c r="P20" s="150">
        <v>595000</v>
      </c>
    </row>
    <row r="21" spans="1:16" ht="15.75" x14ac:dyDescent="0.25">
      <c r="A21" s="74">
        <v>3.3</v>
      </c>
      <c r="B21" s="24" t="s">
        <v>22</v>
      </c>
      <c r="C21" s="24">
        <f>SUM(D21:P21)</f>
        <v>2388303</v>
      </c>
      <c r="D21" s="86">
        <f>D22+D41</f>
        <v>24630</v>
      </c>
      <c r="E21" s="86">
        <f t="shared" ref="E21" si="27">E22+E41</f>
        <v>423216</v>
      </c>
      <c r="F21" s="86">
        <f>F22+F41</f>
        <v>261261</v>
      </c>
      <c r="G21" s="86">
        <f t="shared" ref="G21:M21" si="28">G22+G41</f>
        <v>259710</v>
      </c>
      <c r="H21" s="86">
        <f>H22+H41</f>
        <v>536270</v>
      </c>
      <c r="I21" s="86">
        <f t="shared" ref="I21:J21" si="29">I22+I41</f>
        <v>0</v>
      </c>
      <c r="J21" s="105">
        <f t="shared" si="29"/>
        <v>0</v>
      </c>
      <c r="K21" s="86">
        <f t="shared" si="28"/>
        <v>359510</v>
      </c>
      <c r="L21" s="86">
        <f t="shared" si="28"/>
        <v>221937</v>
      </c>
      <c r="M21" s="86">
        <f t="shared" si="28"/>
        <v>291234</v>
      </c>
      <c r="N21" s="86">
        <f t="shared" ref="N21:O21" si="30">N22+N41</f>
        <v>10535</v>
      </c>
      <c r="O21" s="86">
        <f t="shared" si="30"/>
        <v>0</v>
      </c>
      <c r="P21" s="86">
        <f t="shared" ref="P21" si="31">P22+P41</f>
        <v>0</v>
      </c>
    </row>
    <row r="22" spans="1:16" ht="15.75" x14ac:dyDescent="0.25">
      <c r="A22" s="74">
        <v>3.4</v>
      </c>
      <c r="B22" s="24" t="s">
        <v>23</v>
      </c>
      <c r="C22" s="24">
        <f>SUM(D22:P22)</f>
        <v>2388303</v>
      </c>
      <c r="D22" s="106">
        <v>24630</v>
      </c>
      <c r="E22" s="106">
        <v>423216</v>
      </c>
      <c r="F22" s="106">
        <v>261261</v>
      </c>
      <c r="G22" s="106">
        <v>259710</v>
      </c>
      <c r="H22" s="106">
        <v>536270</v>
      </c>
      <c r="I22" s="106">
        <v>0</v>
      </c>
      <c r="J22" s="106">
        <v>0</v>
      </c>
      <c r="K22" s="106">
        <v>359510</v>
      </c>
      <c r="L22" s="106">
        <v>221937</v>
      </c>
      <c r="M22" s="106">
        <v>291234</v>
      </c>
      <c r="N22" s="106">
        <v>10535</v>
      </c>
      <c r="O22" s="106">
        <v>0</v>
      </c>
      <c r="P22" s="106">
        <v>0</v>
      </c>
    </row>
    <row r="23" spans="1:16" ht="16.5" thickBot="1" x14ac:dyDescent="0.3">
      <c r="A23" s="74">
        <v>3.5</v>
      </c>
      <c r="B23" s="57" t="s">
        <v>24</v>
      </c>
      <c r="C23" s="130">
        <f>SUM(D23:P23)</f>
        <v>483177</v>
      </c>
      <c r="D23" s="249">
        <v>2250</v>
      </c>
      <c r="E23" s="249">
        <v>69264</v>
      </c>
      <c r="F23" s="249">
        <v>53739</v>
      </c>
      <c r="G23" s="249">
        <v>49950</v>
      </c>
      <c r="H23" s="249">
        <v>107400</v>
      </c>
      <c r="I23" s="249">
        <v>0</v>
      </c>
      <c r="J23" s="249">
        <v>0</v>
      </c>
      <c r="K23" s="249">
        <v>74890</v>
      </c>
      <c r="L23" s="249">
        <v>48783</v>
      </c>
      <c r="M23" s="249">
        <v>75886</v>
      </c>
      <c r="N23" s="249">
        <v>1015</v>
      </c>
      <c r="O23" s="249">
        <v>0</v>
      </c>
      <c r="P23" s="249">
        <v>0</v>
      </c>
    </row>
    <row r="24" spans="1:16" ht="17.25" thickBot="1" x14ac:dyDescent="0.3">
      <c r="A24" s="26">
        <v>4</v>
      </c>
      <c r="B24" s="53" t="s">
        <v>26</v>
      </c>
      <c r="C24" s="12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6.5" x14ac:dyDescent="0.2">
      <c r="A25" s="74">
        <v>4.0999999999999996</v>
      </c>
      <c r="B25" s="54" t="s">
        <v>31</v>
      </c>
      <c r="C25" s="134">
        <f>(C48-C43-C44)/C13</f>
        <v>0</v>
      </c>
      <c r="D25" s="87">
        <f>D52</f>
        <v>0</v>
      </c>
      <c r="E25" s="87">
        <f t="shared" ref="E25" si="32">E52</f>
        <v>0</v>
      </c>
      <c r="F25" s="87">
        <f>F52</f>
        <v>0</v>
      </c>
      <c r="G25" s="87">
        <f t="shared" ref="G25:M25" si="33">G52</f>
        <v>0</v>
      </c>
      <c r="H25" s="87">
        <f t="shared" si="33"/>
        <v>0</v>
      </c>
      <c r="I25" s="87">
        <f t="shared" ref="I25:J25" si="34">I52</f>
        <v>0</v>
      </c>
      <c r="J25" s="87">
        <f t="shared" si="34"/>
        <v>0</v>
      </c>
      <c r="K25" s="87">
        <f t="shared" si="33"/>
        <v>0</v>
      </c>
      <c r="L25" s="87">
        <f t="shared" ref="L25" si="35">L52</f>
        <v>0</v>
      </c>
      <c r="M25" s="87">
        <f t="shared" si="33"/>
        <v>0</v>
      </c>
      <c r="N25" s="87">
        <f t="shared" ref="N25:O25" si="36">N52</f>
        <v>0</v>
      </c>
      <c r="O25" s="87">
        <f t="shared" si="36"/>
        <v>0</v>
      </c>
      <c r="P25" s="87">
        <f t="shared" ref="P25" si="37">P52</f>
        <v>0</v>
      </c>
    </row>
    <row r="26" spans="1:16" ht="17.25" thickBot="1" x14ac:dyDescent="0.3">
      <c r="A26" s="74">
        <v>4.2</v>
      </c>
      <c r="B26" s="57" t="s">
        <v>25</v>
      </c>
      <c r="C26" s="134">
        <f>(C13-C48)/C13</f>
        <v>1</v>
      </c>
      <c r="D26" s="88">
        <f>(D22/D21)*100</f>
        <v>100</v>
      </c>
      <c r="E26" s="88">
        <f t="shared" ref="E26" si="38">(E22/E21)*100</f>
        <v>100</v>
      </c>
      <c r="F26" s="88">
        <f>(F22/F21)*100</f>
        <v>100</v>
      </c>
      <c r="G26" s="88">
        <f t="shared" ref="G26:M26" si="39">(G22/G21)*100</f>
        <v>100</v>
      </c>
      <c r="H26" s="88">
        <f t="shared" si="39"/>
        <v>100</v>
      </c>
      <c r="I26" s="88" t="e">
        <f t="shared" ref="I26:J26" si="40">(I22/I21)*100</f>
        <v>#DIV/0!</v>
      </c>
      <c r="J26" s="88" t="e">
        <f t="shared" si="40"/>
        <v>#DIV/0!</v>
      </c>
      <c r="K26" s="88">
        <f t="shared" si="39"/>
        <v>100</v>
      </c>
      <c r="L26" s="88">
        <f t="shared" ref="L26" si="41">(L22/L21)*100</f>
        <v>100</v>
      </c>
      <c r="M26" s="88">
        <f t="shared" si="39"/>
        <v>100</v>
      </c>
      <c r="N26" s="88">
        <f t="shared" ref="N26:O26" si="42">(N22/N21)*100</f>
        <v>100</v>
      </c>
      <c r="O26" s="88" t="e">
        <f t="shared" si="42"/>
        <v>#DIV/0!</v>
      </c>
      <c r="P26" s="88" t="e">
        <f t="shared" ref="P26" si="43">(P22/P21)*100</f>
        <v>#DIV/0!</v>
      </c>
    </row>
    <row r="27" spans="1:16" ht="17.25" thickBot="1" x14ac:dyDescent="0.3">
      <c r="A27" s="26">
        <v>5</v>
      </c>
      <c r="B27" s="79" t="s">
        <v>42</v>
      </c>
      <c r="C27" s="13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7.25" thickBot="1" x14ac:dyDescent="0.3">
      <c r="A28" s="19" t="s">
        <v>44</v>
      </c>
      <c r="B28" s="80" t="s">
        <v>39</v>
      </c>
      <c r="C28" s="13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5.75" x14ac:dyDescent="0.25">
      <c r="A29" s="77" t="s">
        <v>53</v>
      </c>
      <c r="B29" s="60" t="s">
        <v>14</v>
      </c>
      <c r="C29" s="24">
        <f>SUM(D30:P30)</f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ht="15.75" x14ac:dyDescent="0.25">
      <c r="A30" s="77" t="s">
        <v>54</v>
      </c>
      <c r="B30" s="61" t="s">
        <v>15</v>
      </c>
      <c r="C30" s="24">
        <f>SUM(D31:P31)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6" ht="15.75" x14ac:dyDescent="0.25">
      <c r="A31" s="77" t="s">
        <v>55</v>
      </c>
      <c r="B31" s="61" t="s">
        <v>16</v>
      </c>
      <c r="C31" s="24">
        <f>SUM(D32:P32)</f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6" ht="15.75" x14ac:dyDescent="0.25">
      <c r="A32" s="77" t="s">
        <v>56</v>
      </c>
      <c r="B32" s="61" t="s">
        <v>18</v>
      </c>
      <c r="C32" s="24">
        <f>SUM(D33:P33)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ht="15.75" x14ac:dyDescent="0.25">
      <c r="A33" s="77" t="s">
        <v>57</v>
      </c>
      <c r="B33" s="61" t="s">
        <v>20</v>
      </c>
      <c r="C33" s="24">
        <f>SUM(D34:P34)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</row>
    <row r="34" spans="1:16" ht="17.25" thickBot="1" x14ac:dyDescent="0.35">
      <c r="A34" s="77" t="s">
        <v>73</v>
      </c>
      <c r="B34" s="62" t="s">
        <v>3</v>
      </c>
      <c r="C34" s="139">
        <f>SUM(C29:C33)</f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</row>
    <row r="35" spans="1:16" ht="17.25" thickBot="1" x14ac:dyDescent="0.3">
      <c r="A35" s="19" t="s">
        <v>45</v>
      </c>
      <c r="B35" s="59" t="s">
        <v>11</v>
      </c>
      <c r="C35" s="13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5.75" x14ac:dyDescent="0.25">
      <c r="A36" s="77" t="s">
        <v>58</v>
      </c>
      <c r="B36" s="61" t="s">
        <v>14</v>
      </c>
      <c r="C36" s="24">
        <f>SUM(D37:P37)</f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</row>
    <row r="37" spans="1:16" ht="15.75" x14ac:dyDescent="0.25">
      <c r="A37" s="77" t="s">
        <v>59</v>
      </c>
      <c r="B37" s="61" t="s">
        <v>15</v>
      </c>
      <c r="C37" s="24">
        <f>SUM(D38:P38)</f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</row>
    <row r="38" spans="1:16" ht="15.75" x14ac:dyDescent="0.25">
      <c r="A38" s="77" t="s">
        <v>60</v>
      </c>
      <c r="B38" s="61" t="s">
        <v>16</v>
      </c>
      <c r="C38" s="24">
        <f>SUM(D39:P39)</f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</row>
    <row r="39" spans="1:16" ht="15.75" x14ac:dyDescent="0.25">
      <c r="A39" s="77" t="s">
        <v>61</v>
      </c>
      <c r="B39" s="61" t="s">
        <v>18</v>
      </c>
      <c r="C39" s="24">
        <f>SUM(D40:P40)</f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</row>
    <row r="40" spans="1:16" ht="15.75" x14ac:dyDescent="0.25">
      <c r="A40" s="77" t="s">
        <v>62</v>
      </c>
      <c r="B40" s="61" t="s">
        <v>20</v>
      </c>
      <c r="C40" s="24">
        <f>SUM(D41:P41)</f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</row>
    <row r="41" spans="1:16" ht="17.25" thickBot="1" x14ac:dyDescent="0.35">
      <c r="A41" s="77" t="s">
        <v>74</v>
      </c>
      <c r="B41" s="62" t="s">
        <v>3</v>
      </c>
      <c r="C41" s="139">
        <f>SUM(C36:C40)</f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</row>
    <row r="42" spans="1:16" ht="17.25" thickBot="1" x14ac:dyDescent="0.3">
      <c r="A42" s="19" t="s">
        <v>46</v>
      </c>
      <c r="B42" s="59" t="s">
        <v>32</v>
      </c>
      <c r="C42" s="13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5.75" x14ac:dyDescent="0.25">
      <c r="A43" s="77" t="s">
        <v>63</v>
      </c>
      <c r="B43" s="61" t="s">
        <v>14</v>
      </c>
      <c r="C43" s="24">
        <f>SUM(D44:P44)</f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</row>
    <row r="44" spans="1:16" ht="15.75" x14ac:dyDescent="0.25">
      <c r="A44" s="77" t="s">
        <v>64</v>
      </c>
      <c r="B44" s="61" t="s">
        <v>15</v>
      </c>
      <c r="C44" s="24">
        <f>SUM(D45:P45)</f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</row>
    <row r="45" spans="1:16" ht="15.75" x14ac:dyDescent="0.25">
      <c r="A45" s="77" t="s">
        <v>65</v>
      </c>
      <c r="B45" s="61" t="s">
        <v>16</v>
      </c>
      <c r="C45" s="24">
        <f>SUM(D46:P46)</f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</row>
    <row r="46" spans="1:16" ht="15.75" x14ac:dyDescent="0.25">
      <c r="A46" s="77" t="s">
        <v>66</v>
      </c>
      <c r="B46" s="61" t="s">
        <v>18</v>
      </c>
      <c r="C46" s="24">
        <f>SUM(D47:P47)</f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</row>
    <row r="47" spans="1:16" ht="15.75" x14ac:dyDescent="0.25">
      <c r="A47" s="77" t="s">
        <v>67</v>
      </c>
      <c r="B47" s="61" t="s">
        <v>20</v>
      </c>
      <c r="C47" s="24">
        <f>SUM(D48:P48)</f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6" ht="17.25" thickBot="1" x14ac:dyDescent="0.35">
      <c r="A48" s="77" t="s">
        <v>75</v>
      </c>
      <c r="B48" s="62" t="s">
        <v>3</v>
      </c>
      <c r="C48" s="139">
        <f>SUM(C43:C47)</f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</row>
    <row r="49" spans="1:16" ht="17.25" thickBot="1" x14ac:dyDescent="0.3">
      <c r="A49" s="19" t="s">
        <v>47</v>
      </c>
      <c r="B49" s="59" t="s">
        <v>33</v>
      </c>
      <c r="C49" s="13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5.75" x14ac:dyDescent="0.25">
      <c r="A50" s="77" t="s">
        <v>68</v>
      </c>
      <c r="B50" s="61" t="s">
        <v>14</v>
      </c>
      <c r="C50" s="133">
        <f>C43/C$12%</f>
        <v>0</v>
      </c>
      <c r="D50" s="133">
        <f>D43/D$14%</f>
        <v>0</v>
      </c>
      <c r="E50" s="133">
        <f t="shared" ref="E50" si="44">E43/E$14%</f>
        <v>0</v>
      </c>
      <c r="F50" s="133">
        <f>F43/F$14%</f>
        <v>0</v>
      </c>
      <c r="G50" s="133">
        <f>G43/G$14%</f>
        <v>0</v>
      </c>
      <c r="H50" s="133">
        <f t="shared" ref="F50:M51" si="45">H43/H$14%</f>
        <v>0</v>
      </c>
      <c r="I50" s="133">
        <f t="shared" ref="I50:J50" si="46">I43/I$14%</f>
        <v>0</v>
      </c>
      <c r="J50" s="133">
        <f t="shared" si="46"/>
        <v>0</v>
      </c>
      <c r="K50" s="133">
        <f t="shared" si="45"/>
        <v>0</v>
      </c>
      <c r="L50" s="133">
        <f t="shared" ref="L50" si="47">L43/L$14%</f>
        <v>0</v>
      </c>
      <c r="M50" s="133">
        <f t="shared" si="45"/>
        <v>0</v>
      </c>
      <c r="N50" s="133">
        <f t="shared" ref="N50:O50" si="48">N43/N$14%</f>
        <v>0</v>
      </c>
      <c r="O50" s="133">
        <f t="shared" si="48"/>
        <v>0</v>
      </c>
      <c r="P50" s="133">
        <f t="shared" ref="P50" si="49">P43/P$14%</f>
        <v>0</v>
      </c>
    </row>
    <row r="51" spans="1:16" ht="15.75" x14ac:dyDescent="0.25">
      <c r="A51" s="77" t="s">
        <v>69</v>
      </c>
      <c r="B51" s="61" t="s">
        <v>15</v>
      </c>
      <c r="C51" s="133">
        <f>C44/C$12%</f>
        <v>0</v>
      </c>
      <c r="D51" s="133">
        <f t="shared" ref="D51:E51" si="50">D44/D$14%</f>
        <v>0</v>
      </c>
      <c r="E51" s="133">
        <f t="shared" si="50"/>
        <v>0</v>
      </c>
      <c r="F51" s="133">
        <f t="shared" si="45"/>
        <v>0</v>
      </c>
      <c r="G51" s="133">
        <f t="shared" si="45"/>
        <v>0</v>
      </c>
      <c r="H51" s="133">
        <f t="shared" si="45"/>
        <v>0</v>
      </c>
      <c r="I51" s="133">
        <f t="shared" ref="I51:J51" si="51">I44/I$14%</f>
        <v>0</v>
      </c>
      <c r="J51" s="133">
        <f t="shared" si="51"/>
        <v>0</v>
      </c>
      <c r="K51" s="133">
        <f t="shared" si="45"/>
        <v>0</v>
      </c>
      <c r="L51" s="133">
        <f t="shared" ref="L51" si="52">L44/L$14%</f>
        <v>0</v>
      </c>
      <c r="M51" s="133">
        <f t="shared" si="45"/>
        <v>0</v>
      </c>
      <c r="N51" s="133">
        <f t="shared" ref="N51:O51" si="53">N44/N$14%</f>
        <v>0</v>
      </c>
      <c r="O51" s="133">
        <f t="shared" si="53"/>
        <v>0</v>
      </c>
      <c r="P51" s="133">
        <f t="shared" ref="P51" si="54">P44/P$14%</f>
        <v>0</v>
      </c>
    </row>
    <row r="52" spans="1:16" ht="15.75" x14ac:dyDescent="0.25">
      <c r="A52" s="77" t="s">
        <v>70</v>
      </c>
      <c r="B52" s="61" t="s">
        <v>16</v>
      </c>
      <c r="C52" s="133">
        <f>C45/C$12%</f>
        <v>0</v>
      </c>
      <c r="D52" s="133">
        <f>D45/D$14%</f>
        <v>0</v>
      </c>
      <c r="E52" s="133">
        <f t="shared" ref="E52" si="55">E45/E$14%</f>
        <v>0</v>
      </c>
      <c r="F52" s="133">
        <f>F45/F$14%</f>
        <v>0</v>
      </c>
      <c r="G52" s="133">
        <f t="shared" ref="G52:M52" si="56">G45/G$14%</f>
        <v>0</v>
      </c>
      <c r="H52" s="133">
        <f t="shared" si="56"/>
        <v>0</v>
      </c>
      <c r="I52" s="133">
        <f t="shared" ref="I52:J52" si="57">I45/I$14%</f>
        <v>0</v>
      </c>
      <c r="J52" s="133">
        <f t="shared" si="57"/>
        <v>0</v>
      </c>
      <c r="K52" s="133">
        <f t="shared" si="56"/>
        <v>0</v>
      </c>
      <c r="L52" s="133">
        <f t="shared" ref="L52" si="58">L45/L$14%</f>
        <v>0</v>
      </c>
      <c r="M52" s="133">
        <f t="shared" si="56"/>
        <v>0</v>
      </c>
      <c r="N52" s="133">
        <f t="shared" ref="N52:O52" si="59">N45/N$14%</f>
        <v>0</v>
      </c>
      <c r="O52" s="133">
        <f t="shared" si="59"/>
        <v>0</v>
      </c>
      <c r="P52" s="133">
        <f t="shared" ref="P52" si="60">P45/P$14%</f>
        <v>0</v>
      </c>
    </row>
    <row r="53" spans="1:16" ht="15.75" x14ac:dyDescent="0.25">
      <c r="A53" s="77" t="s">
        <v>71</v>
      </c>
      <c r="B53" s="61" t="s">
        <v>18</v>
      </c>
      <c r="C53" s="133">
        <f>C46/C$12%</f>
        <v>0</v>
      </c>
      <c r="D53" s="133">
        <f t="shared" ref="D53:E53" si="61">D46/D$14%</f>
        <v>0</v>
      </c>
      <c r="E53" s="133">
        <f t="shared" si="61"/>
        <v>0</v>
      </c>
      <c r="F53" s="133">
        <f t="shared" ref="F53:M53" si="62">F46/F$14%</f>
        <v>0</v>
      </c>
      <c r="G53" s="133">
        <f t="shared" si="62"/>
        <v>0</v>
      </c>
      <c r="H53" s="133">
        <f t="shared" si="62"/>
        <v>0</v>
      </c>
      <c r="I53" s="133">
        <f t="shared" ref="I53:J53" si="63">I46/I$14%</f>
        <v>0</v>
      </c>
      <c r="J53" s="133">
        <f t="shared" si="63"/>
        <v>0</v>
      </c>
      <c r="K53" s="133">
        <f t="shared" si="62"/>
        <v>0</v>
      </c>
      <c r="L53" s="133">
        <f t="shared" ref="L53" si="64">L46/L$14%</f>
        <v>0</v>
      </c>
      <c r="M53" s="133">
        <f t="shared" si="62"/>
        <v>0</v>
      </c>
      <c r="N53" s="133">
        <f t="shared" ref="N53:O53" si="65">N46/N$14%</f>
        <v>0</v>
      </c>
      <c r="O53" s="133">
        <f t="shared" si="65"/>
        <v>0</v>
      </c>
      <c r="P53" s="133">
        <f t="shared" ref="P53" si="66">P46/P$14%</f>
        <v>0</v>
      </c>
    </row>
    <row r="54" spans="1:16" ht="16.5" thickBot="1" x14ac:dyDescent="0.3">
      <c r="A54" s="77" t="s">
        <v>72</v>
      </c>
      <c r="B54" s="63" t="s">
        <v>20</v>
      </c>
      <c r="C54" s="133">
        <f>C47/C$12%</f>
        <v>0</v>
      </c>
      <c r="D54" s="133">
        <f>D47/D$14%</f>
        <v>0</v>
      </c>
      <c r="E54" s="133">
        <f t="shared" ref="E54" si="67">E47/E$14%</f>
        <v>0</v>
      </c>
      <c r="F54" s="133">
        <f>F47/F$14%</f>
        <v>0</v>
      </c>
      <c r="G54" s="133">
        <f t="shared" ref="G54:M54" si="68">G47/G$14%</f>
        <v>0</v>
      </c>
      <c r="H54" s="133">
        <f t="shared" si="68"/>
        <v>0</v>
      </c>
      <c r="I54" s="133">
        <f t="shared" ref="I54:J54" si="69">I47/I$14%</f>
        <v>0</v>
      </c>
      <c r="J54" s="133">
        <f t="shared" si="69"/>
        <v>0</v>
      </c>
      <c r="K54" s="133">
        <f t="shared" si="68"/>
        <v>0</v>
      </c>
      <c r="L54" s="133">
        <f t="shared" ref="L54" si="70">L47/L$14%</f>
        <v>0</v>
      </c>
      <c r="M54" s="133">
        <f t="shared" si="68"/>
        <v>0</v>
      </c>
      <c r="N54" s="133">
        <f t="shared" ref="N54:O54" si="71">N47/N$14%</f>
        <v>0</v>
      </c>
      <c r="O54" s="133">
        <f t="shared" si="71"/>
        <v>0</v>
      </c>
      <c r="P54" s="133">
        <f t="shared" ref="P54" si="72">P47/P$14%</f>
        <v>0</v>
      </c>
    </row>
    <row r="55" spans="1:16" ht="17.25" thickBot="1" x14ac:dyDescent="0.3">
      <c r="A55" s="26">
        <v>6</v>
      </c>
      <c r="B55" s="59" t="s">
        <v>43</v>
      </c>
      <c r="C55" s="136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5.75" x14ac:dyDescent="0.25">
      <c r="A56" s="76" t="s">
        <v>76</v>
      </c>
      <c r="B56" s="60" t="s">
        <v>35</v>
      </c>
      <c r="C56" s="24">
        <f>SUM(D56:P56)</f>
        <v>2592</v>
      </c>
      <c r="D56" s="31">
        <f>20+85</f>
        <v>105</v>
      </c>
      <c r="E56" s="31">
        <f>210+68+103+134</f>
        <v>515</v>
      </c>
      <c r="F56" s="31">
        <f>89+21+10+24+39+31</f>
        <v>214</v>
      </c>
      <c r="G56" s="31">
        <f>109+54+29+49</f>
        <v>241</v>
      </c>
      <c r="H56" s="31">
        <f>174+92+41+60+74+8</f>
        <v>449</v>
      </c>
      <c r="I56" s="31">
        <f>47+72</f>
        <v>119</v>
      </c>
      <c r="J56" s="31">
        <f>72</f>
        <v>72</v>
      </c>
      <c r="K56" s="31">
        <f>42+57+49+66+120+21</f>
        <v>355</v>
      </c>
      <c r="L56" s="31">
        <f>41+74+13+61+9</f>
        <v>198</v>
      </c>
      <c r="M56" s="31">
        <f>69+75+42+33+25</f>
        <v>244</v>
      </c>
      <c r="N56" s="31">
        <f>7+7</f>
        <v>14</v>
      </c>
      <c r="O56" s="31">
        <f>24</f>
        <v>24</v>
      </c>
      <c r="P56" s="31">
        <f>7+35</f>
        <v>42</v>
      </c>
    </row>
    <row r="57" spans="1:16" ht="16.5" thickBot="1" x14ac:dyDescent="0.3">
      <c r="A57" s="76" t="s">
        <v>77</v>
      </c>
      <c r="B57" s="63" t="s">
        <v>21</v>
      </c>
      <c r="C57" s="196">
        <f>SUM(D57:P57)</f>
        <v>40848000</v>
      </c>
      <c r="D57" s="150">
        <f>280000+1330000</f>
        <v>1610000</v>
      </c>
      <c r="E57" s="150">
        <f>2100000+680000+1030000+1340000</f>
        <v>5150000</v>
      </c>
      <c r="F57" s="150">
        <f>1539000+372000+161000+440000+770000+555000</f>
        <v>3837000</v>
      </c>
      <c r="G57" s="150">
        <f>1692000+802000+359000+834000</f>
        <v>3687000</v>
      </c>
      <c r="H57" s="150">
        <f>2511000+1512000+678000+976000+1185000+120000</f>
        <v>6982000</v>
      </c>
      <c r="I57" s="150">
        <f>1016000+1544000</f>
        <v>2560000</v>
      </c>
      <c r="J57" s="150">
        <f>1566000</f>
        <v>1566000</v>
      </c>
      <c r="K57" s="150">
        <f>795000+1010000+870000+1250000+2050000+320000</f>
        <v>6295000</v>
      </c>
      <c r="L57" s="150">
        <f>615000+1110000+195000+915000+135000</f>
        <v>2970000</v>
      </c>
      <c r="M57" s="150">
        <f>1365000+1495000+825000+650000+515000</f>
        <v>4850000</v>
      </c>
      <c r="N57" s="150">
        <f>119000+107000</f>
        <v>226000</v>
      </c>
      <c r="O57" s="150">
        <f>401000</f>
        <v>401000</v>
      </c>
      <c r="P57" s="150">
        <f>119000+595000</f>
        <v>714000</v>
      </c>
    </row>
    <row r="58" spans="1:16" ht="17.25" thickBot="1" x14ac:dyDescent="0.3">
      <c r="A58" s="26">
        <v>7</v>
      </c>
      <c r="B58" s="20" t="s">
        <v>48</v>
      </c>
      <c r="C58" s="136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5.75" x14ac:dyDescent="0.25">
      <c r="A59" s="77">
        <v>7.1</v>
      </c>
      <c r="B59" s="60" t="s">
        <v>51</v>
      </c>
      <c r="C59" s="196">
        <f>SUM(D59:P59)</f>
        <v>4512992.5276449043</v>
      </c>
      <c r="D59" s="96">
        <f>D61*D14</f>
        <v>739839.33333333337</v>
      </c>
      <c r="E59" s="96">
        <f t="shared" ref="E59" si="73">E61*E14</f>
        <v>0</v>
      </c>
      <c r="F59" s="96">
        <f>F61*F14</f>
        <v>367024.39252336451</v>
      </c>
      <c r="G59" s="96">
        <f t="shared" ref="G59:M59" si="74">G61*G14</f>
        <v>914040.47302904562</v>
      </c>
      <c r="H59" s="96">
        <f t="shared" si="74"/>
        <v>746564.25055928412</v>
      </c>
      <c r="I59" s="96">
        <f t="shared" ref="I59:J59" si="75">I61*I14</f>
        <v>0</v>
      </c>
      <c r="J59" s="96">
        <f t="shared" si="75"/>
        <v>0</v>
      </c>
      <c r="K59" s="96">
        <f t="shared" si="74"/>
        <v>362940.81126760563</v>
      </c>
      <c r="L59" s="96">
        <f t="shared" ref="L59" si="76">L61*L14</f>
        <v>0</v>
      </c>
      <c r="M59" s="96">
        <f t="shared" si="74"/>
        <v>267583.2669322709</v>
      </c>
      <c r="N59" s="96">
        <f t="shared" ref="N59:O59" si="77">N61*N14</f>
        <v>0</v>
      </c>
      <c r="O59" s="96">
        <f t="shared" si="77"/>
        <v>401000</v>
      </c>
      <c r="P59" s="96">
        <f t="shared" ref="P59" si="78">P61*P14</f>
        <v>714000</v>
      </c>
    </row>
    <row r="60" spans="1:16" ht="15.75" x14ac:dyDescent="0.25">
      <c r="A60" s="77">
        <v>7.2</v>
      </c>
      <c r="B60" s="61" t="s">
        <v>52</v>
      </c>
      <c r="C60" s="196">
        <f>SUM(D60:P60)</f>
        <v>26123002.472355094</v>
      </c>
      <c r="D60" s="96">
        <f>D13-D59</f>
        <v>845530.66666666663</v>
      </c>
      <c r="E60" s="96">
        <f t="shared" ref="E60" si="79">E13-E59</f>
        <v>3523227</v>
      </c>
      <c r="F60" s="96">
        <f>F13-F59</f>
        <v>2438090.6074766354</v>
      </c>
      <c r="G60" s="96">
        <f t="shared" ref="G60:M60" si="80">G13-G59</f>
        <v>1647398.5269709544</v>
      </c>
      <c r="H60" s="96">
        <f t="shared" si="80"/>
        <v>4020781.7494407156</v>
      </c>
      <c r="I60" s="96">
        <f t="shared" ref="I60:J60" si="81">I13-I59</f>
        <v>1544000</v>
      </c>
      <c r="J60" s="96">
        <f t="shared" si="81"/>
        <v>1566000</v>
      </c>
      <c r="K60" s="96">
        <f t="shared" si="80"/>
        <v>4592597.188732394</v>
      </c>
      <c r="L60" s="96">
        <f t="shared" ref="L60" si="82">L13-L59</f>
        <v>2266195</v>
      </c>
      <c r="M60" s="96">
        <f t="shared" si="80"/>
        <v>3463716.733067729</v>
      </c>
      <c r="N60" s="96">
        <f t="shared" ref="N60:O60" si="83">N13-N59</f>
        <v>215465</v>
      </c>
      <c r="O60" s="96">
        <f t="shared" si="83"/>
        <v>0</v>
      </c>
      <c r="P60" s="96">
        <f t="shared" ref="P60" si="84">P13-P59</f>
        <v>0</v>
      </c>
    </row>
    <row r="61" spans="1:16" ht="15.75" x14ac:dyDescent="0.25">
      <c r="A61" s="77">
        <v>7.3</v>
      </c>
      <c r="B61" s="64" t="s">
        <v>49</v>
      </c>
      <c r="C61" s="24">
        <f>SUM(D61:P61)</f>
        <v>343</v>
      </c>
      <c r="D61" s="86">
        <v>49</v>
      </c>
      <c r="E61" s="86">
        <v>0</v>
      </c>
      <c r="F61" s="86">
        <v>28</v>
      </c>
      <c r="G61" s="86">
        <v>86</v>
      </c>
      <c r="H61" s="86">
        <v>70</v>
      </c>
      <c r="I61" s="86">
        <v>0</v>
      </c>
      <c r="J61" s="86">
        <v>0</v>
      </c>
      <c r="K61" s="86">
        <v>26</v>
      </c>
      <c r="L61" s="86">
        <v>0</v>
      </c>
      <c r="M61" s="86">
        <v>18</v>
      </c>
      <c r="N61" s="86">
        <v>0</v>
      </c>
      <c r="O61" s="86">
        <v>24</v>
      </c>
      <c r="P61" s="86">
        <v>42</v>
      </c>
    </row>
    <row r="62" spans="1:16" ht="15.75" x14ac:dyDescent="0.25">
      <c r="A62" s="77">
        <v>7.4</v>
      </c>
      <c r="B62" s="64" t="s">
        <v>50</v>
      </c>
      <c r="C62" s="24">
        <f>SUM(D62:P62)</f>
        <v>2205</v>
      </c>
      <c r="D62" s="86">
        <f>D12-D61</f>
        <v>56</v>
      </c>
      <c r="E62" s="86">
        <f t="shared" ref="E62" si="85">E12-E61</f>
        <v>514</v>
      </c>
      <c r="F62" s="86">
        <f>F12-F61</f>
        <v>186</v>
      </c>
      <c r="G62" s="86">
        <f t="shared" ref="G62:M62" si="86">G12-G61</f>
        <v>155</v>
      </c>
      <c r="H62" s="86">
        <f t="shared" si="86"/>
        <v>377</v>
      </c>
      <c r="I62" s="86">
        <f t="shared" ref="I62:J62" si="87">I12-I61</f>
        <v>72</v>
      </c>
      <c r="J62" s="86">
        <f t="shared" si="87"/>
        <v>72</v>
      </c>
      <c r="K62" s="86">
        <f t="shared" si="86"/>
        <v>329</v>
      </c>
      <c r="L62" s="86">
        <f t="shared" ref="L62" si="88">L12-L61</f>
        <v>197</v>
      </c>
      <c r="M62" s="86">
        <f t="shared" si="86"/>
        <v>233</v>
      </c>
      <c r="N62" s="86">
        <f t="shared" ref="N62:O62" si="89">N12-N61</f>
        <v>14</v>
      </c>
      <c r="O62" s="86">
        <f t="shared" si="89"/>
        <v>0</v>
      </c>
      <c r="P62" s="86">
        <f t="shared" ref="P62" si="90">P12-P61</f>
        <v>0</v>
      </c>
    </row>
  </sheetData>
  <mergeCells count="5">
    <mergeCell ref="A1:M1"/>
    <mergeCell ref="F3:H3"/>
    <mergeCell ref="D3:E3"/>
    <mergeCell ref="N3:P3"/>
    <mergeCell ref="I3:L3"/>
  </mergeCells>
  <pageMargins left="0.7" right="0.7" top="0.75" bottom="0.75" header="0.3" footer="0.3"/>
  <pageSetup paperSize="9" scale="38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BreakPreview" topLeftCell="B1" zoomScale="87" zoomScaleSheetLayoutView="87" workbookViewId="0">
      <selection activeCell="A2" sqref="A2:Q2"/>
    </sheetView>
  </sheetViews>
  <sheetFormatPr defaultColWidth="9.140625" defaultRowHeight="12.75" x14ac:dyDescent="0.2"/>
  <cols>
    <col min="1" max="1" width="0.85546875" hidden="1" customWidth="1"/>
    <col min="2" max="2" width="2.28515625" customWidth="1"/>
    <col min="12" max="12" width="6.7109375" customWidth="1"/>
    <col min="13" max="13" width="0.5703125" hidden="1" customWidth="1"/>
    <col min="14" max="14" width="11" customWidth="1"/>
    <col min="15" max="15" width="10" bestFit="1" customWidth="1"/>
    <col min="16" max="16" width="13" bestFit="1" customWidth="1"/>
    <col min="17" max="17" width="9.140625" customWidth="1"/>
  </cols>
  <sheetData>
    <row r="1" spans="1:17" ht="3.75" customHeight="1" x14ac:dyDescent="0.2"/>
    <row r="2" spans="1:17" ht="20.25" x14ac:dyDescent="0.3">
      <c r="A2" s="331" t="s">
        <v>34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 ht="16.5" customHeight="1" thickBot="1" x14ac:dyDescent="0.3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33" t="s">
        <v>141</v>
      </c>
      <c r="O3" s="334"/>
      <c r="P3" s="334"/>
      <c r="Q3" s="334"/>
    </row>
    <row r="4" spans="1:17" ht="13.5" customHeight="1" x14ac:dyDescent="0.2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 t="s">
        <v>38</v>
      </c>
      <c r="O4" s="8" t="s">
        <v>40</v>
      </c>
      <c r="P4" s="9" t="s">
        <v>37</v>
      </c>
      <c r="Q4" s="8" t="s">
        <v>41</v>
      </c>
    </row>
    <row r="5" spans="1:17" x14ac:dyDescent="0.2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6">
        <v>41365</v>
      </c>
      <c r="O5" s="6">
        <v>16376</v>
      </c>
      <c r="P5" s="3">
        <v>113953778</v>
      </c>
      <c r="Q5" s="37"/>
    </row>
    <row r="6" spans="1:17" x14ac:dyDescent="0.2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6">
        <v>41395</v>
      </c>
      <c r="O6" s="6">
        <v>15916</v>
      </c>
      <c r="P6" s="3">
        <v>115664498</v>
      </c>
      <c r="Q6" s="37">
        <f t="shared" ref="Q6:Q30" si="0">(P6-P5)/P5</f>
        <v>1.5012402660313728E-2</v>
      </c>
    </row>
    <row r="7" spans="1:17" x14ac:dyDescent="0.2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6">
        <v>41438</v>
      </c>
      <c r="O7" s="44">
        <v>15687</v>
      </c>
      <c r="P7" s="3">
        <v>111187032</v>
      </c>
      <c r="Q7" s="37">
        <f t="shared" si="0"/>
        <v>-3.8710806491374733E-2</v>
      </c>
    </row>
    <row r="8" spans="1:17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6">
        <v>41468</v>
      </c>
      <c r="O8" s="6">
        <v>16200</v>
      </c>
      <c r="P8" s="3">
        <v>111829770</v>
      </c>
      <c r="Q8" s="37">
        <f t="shared" si="0"/>
        <v>5.7806921224410413E-3</v>
      </c>
    </row>
    <row r="9" spans="1:17" x14ac:dyDescent="0.2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6">
        <v>41499</v>
      </c>
      <c r="O9" s="6">
        <v>15984</v>
      </c>
      <c r="P9" s="3">
        <v>109432378</v>
      </c>
      <c r="Q9" s="37">
        <f t="shared" si="0"/>
        <v>-2.1437869361619899E-2</v>
      </c>
    </row>
    <row r="10" spans="1:17" x14ac:dyDescent="0.2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6">
        <v>41530</v>
      </c>
      <c r="O10" s="44">
        <v>16140</v>
      </c>
      <c r="P10" s="91">
        <v>106748115</v>
      </c>
      <c r="Q10" s="37">
        <f t="shared" si="0"/>
        <v>-2.452896527570661E-2</v>
      </c>
    </row>
    <row r="11" spans="1:17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6">
        <v>41560</v>
      </c>
      <c r="O11" s="44">
        <v>16381</v>
      </c>
      <c r="P11" s="91">
        <v>111324421</v>
      </c>
      <c r="Q11" s="37">
        <f t="shared" si="0"/>
        <v>4.2870134053420987E-2</v>
      </c>
    </row>
    <row r="12" spans="1:17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6">
        <v>41591</v>
      </c>
      <c r="O12" s="44">
        <v>16442</v>
      </c>
      <c r="P12" s="3">
        <v>109752085</v>
      </c>
      <c r="Q12" s="37">
        <f t="shared" si="0"/>
        <v>-1.4123909074721349E-2</v>
      </c>
    </row>
    <row r="13" spans="1:17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6">
        <v>41609</v>
      </c>
      <c r="O13" s="44">
        <v>17338</v>
      </c>
      <c r="P13" s="91">
        <v>115519825</v>
      </c>
      <c r="Q13" s="37">
        <f t="shared" si="0"/>
        <v>5.255244125886082E-2</v>
      </c>
    </row>
    <row r="14" spans="1:17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6">
        <v>41640</v>
      </c>
      <c r="O14" s="6">
        <v>17732</v>
      </c>
      <c r="P14" s="91">
        <v>125648121</v>
      </c>
      <c r="Q14" s="37">
        <f t="shared" si="0"/>
        <v>8.7675825339936245E-2</v>
      </c>
    </row>
    <row r="15" spans="1:17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">
        <v>41672</v>
      </c>
      <c r="O15" s="95">
        <v>16896</v>
      </c>
      <c r="P15" s="91">
        <v>124537582</v>
      </c>
      <c r="Q15" s="37">
        <f t="shared" si="0"/>
        <v>-8.8384847394574247E-3</v>
      </c>
    </row>
    <row r="16" spans="1:17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6">
        <v>41700</v>
      </c>
      <c r="O16" s="6">
        <v>16804</v>
      </c>
      <c r="P16" s="91">
        <v>134375425</v>
      </c>
      <c r="Q16" s="37">
        <f t="shared" si="0"/>
        <v>7.8994973581549069E-2</v>
      </c>
    </row>
    <row r="17" spans="2:17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6">
        <v>41743</v>
      </c>
      <c r="O17" s="44">
        <v>16462</v>
      </c>
      <c r="P17" s="91">
        <v>129844380</v>
      </c>
      <c r="Q17" s="37">
        <f t="shared" si="0"/>
        <v>-3.3719298004080731E-2</v>
      </c>
    </row>
    <row r="18" spans="2:17" x14ac:dyDescent="0.2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6">
        <v>41773</v>
      </c>
      <c r="O18" s="44">
        <v>16298</v>
      </c>
      <c r="P18" s="91">
        <v>130632499</v>
      </c>
      <c r="Q18" s="37">
        <f t="shared" si="0"/>
        <v>6.0697197676172045E-3</v>
      </c>
    </row>
    <row r="19" spans="2:17" x14ac:dyDescent="0.2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6">
        <v>41804</v>
      </c>
      <c r="O19" s="44">
        <v>16488</v>
      </c>
      <c r="P19" s="91">
        <v>129585088</v>
      </c>
      <c r="Q19" s="37">
        <f t="shared" si="0"/>
        <v>-8.0179971141790679E-3</v>
      </c>
    </row>
    <row r="20" spans="2:17" x14ac:dyDescent="0.2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6">
        <v>41834</v>
      </c>
      <c r="O20" s="113">
        <v>15689</v>
      </c>
      <c r="P20" s="114">
        <v>125293485</v>
      </c>
      <c r="Q20" s="37">
        <f t="shared" si="0"/>
        <v>-3.3118031296934414E-2</v>
      </c>
    </row>
    <row r="21" spans="2:17" x14ac:dyDescent="0.2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6">
        <v>41865</v>
      </c>
      <c r="O21" s="44">
        <v>15788</v>
      </c>
      <c r="P21" s="3">
        <v>130631598</v>
      </c>
      <c r="Q21" s="181">
        <f t="shared" si="0"/>
        <v>4.2604872871083443E-2</v>
      </c>
    </row>
    <row r="22" spans="2:17" x14ac:dyDescent="0.2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6">
        <v>41896</v>
      </c>
      <c r="O22" s="44">
        <v>16541</v>
      </c>
      <c r="P22" s="3">
        <v>124592013</v>
      </c>
      <c r="Q22" s="181">
        <f t="shared" si="0"/>
        <v>-4.623372210450951E-2</v>
      </c>
    </row>
    <row r="23" spans="2:17" x14ac:dyDescent="0.2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6">
        <v>41926</v>
      </c>
      <c r="O23" s="44">
        <v>17045</v>
      </c>
      <c r="P23" s="3">
        <v>119206404</v>
      </c>
      <c r="Q23" s="181">
        <f t="shared" si="0"/>
        <v>-4.3225957028240648E-2</v>
      </c>
    </row>
    <row r="24" spans="2:17" x14ac:dyDescent="0.2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>
        <v>41957</v>
      </c>
      <c r="O24" s="44">
        <v>15521</v>
      </c>
      <c r="P24" s="3">
        <v>113356255</v>
      </c>
      <c r="Q24" s="181">
        <f t="shared" si="0"/>
        <v>-4.9075794619221964E-2</v>
      </c>
    </row>
    <row r="25" spans="2:17" x14ac:dyDescent="0.2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6">
        <v>41987</v>
      </c>
      <c r="O25" s="44">
        <v>16006</v>
      </c>
      <c r="P25" s="3">
        <v>121778503</v>
      </c>
      <c r="Q25" s="181">
        <f t="shared" si="0"/>
        <v>7.4298925983396324E-2</v>
      </c>
    </row>
    <row r="26" spans="2:17" x14ac:dyDescent="0.2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6">
        <v>42005</v>
      </c>
      <c r="O26" s="44">
        <v>15950</v>
      </c>
      <c r="P26" s="3">
        <v>127010449</v>
      </c>
      <c r="Q26" s="181">
        <f t="shared" si="0"/>
        <v>4.2962804362934238E-2</v>
      </c>
    </row>
    <row r="27" spans="2:17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6">
        <v>42036</v>
      </c>
      <c r="O27" s="6">
        <v>15941</v>
      </c>
      <c r="P27" s="3">
        <v>134503017</v>
      </c>
      <c r="Q27" s="181">
        <f t="shared" si="0"/>
        <v>5.8991744844552121E-2</v>
      </c>
    </row>
    <row r="28" spans="2:17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6">
        <v>42078</v>
      </c>
      <c r="O28" s="44">
        <v>17219</v>
      </c>
      <c r="P28" s="3">
        <v>162077689</v>
      </c>
      <c r="Q28" s="181">
        <f t="shared" si="0"/>
        <v>0.20501155003831625</v>
      </c>
    </row>
    <row r="29" spans="2:17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6">
        <v>42109</v>
      </c>
      <c r="O29" s="44">
        <v>16796</v>
      </c>
      <c r="P29" s="3">
        <v>158777758</v>
      </c>
      <c r="Q29" s="181">
        <f t="shared" ref="Q29" si="1">(P29-P28)/P28</f>
        <v>-2.0360180481102493E-2</v>
      </c>
    </row>
    <row r="30" spans="2:17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6">
        <v>42139</v>
      </c>
      <c r="O30" s="44">
        <v>17023</v>
      </c>
      <c r="P30" s="3">
        <v>160492433</v>
      </c>
      <c r="Q30" s="181">
        <f t="shared" si="0"/>
        <v>1.0799214081357667E-2</v>
      </c>
    </row>
    <row r="31" spans="2:17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6">
        <v>42170</v>
      </c>
      <c r="O31" s="44">
        <v>16718</v>
      </c>
      <c r="P31" s="3">
        <v>152441782</v>
      </c>
      <c r="Q31" s="181">
        <f>(P31-P30)/P30</f>
        <v>-5.016218428192188E-2</v>
      </c>
    </row>
    <row r="32" spans="2:17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6">
        <v>42200</v>
      </c>
      <c r="O32" s="44">
        <v>17003</v>
      </c>
      <c r="P32" s="3">
        <v>151403475</v>
      </c>
      <c r="Q32" s="181">
        <f t="shared" ref="Q32:Q39" si="2">(P32-P31)/P31</f>
        <v>-6.8111707064668139E-3</v>
      </c>
    </row>
    <row r="33" spans="2:17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>
        <v>42231</v>
      </c>
      <c r="O33" s="44">
        <v>17531</v>
      </c>
      <c r="P33" s="3">
        <v>154727666</v>
      </c>
      <c r="Q33" s="181">
        <f t="shared" si="2"/>
        <v>2.1955843483777372E-2</v>
      </c>
    </row>
    <row r="34" spans="2:17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6">
        <v>42262</v>
      </c>
      <c r="O34" s="44">
        <v>18700</v>
      </c>
      <c r="P34" s="91">
        <v>169229654</v>
      </c>
      <c r="Q34" s="181">
        <f>(P34-P33)/P33</f>
        <v>9.3725888684962136E-2</v>
      </c>
    </row>
    <row r="35" spans="2:17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6">
        <v>42292</v>
      </c>
      <c r="O35" s="44">
        <v>19295</v>
      </c>
      <c r="P35" s="91">
        <v>172040297</v>
      </c>
      <c r="Q35" s="181">
        <f t="shared" si="2"/>
        <v>1.6608454449714823E-2</v>
      </c>
    </row>
    <row r="36" spans="2:17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6">
        <v>42323</v>
      </c>
      <c r="O36" s="259">
        <v>19438</v>
      </c>
      <c r="P36" s="3">
        <v>164423383</v>
      </c>
      <c r="Q36" s="181">
        <f t="shared" si="2"/>
        <v>-4.427401098941372E-2</v>
      </c>
    </row>
    <row r="37" spans="2:17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6">
        <v>42353</v>
      </c>
      <c r="O37" s="6">
        <v>19612</v>
      </c>
      <c r="P37" s="3">
        <v>168024001</v>
      </c>
      <c r="Q37" s="181">
        <f t="shared" si="2"/>
        <v>2.1898454674174901E-2</v>
      </c>
    </row>
    <row r="38" spans="2:17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6">
        <v>42384</v>
      </c>
      <c r="O38" s="6">
        <v>19953</v>
      </c>
      <c r="P38" s="3">
        <v>173896557</v>
      </c>
      <c r="Q38" s="181">
        <f t="shared" si="2"/>
        <v>3.4950697311391839E-2</v>
      </c>
    </row>
    <row r="39" spans="2:17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6">
        <v>42416</v>
      </c>
      <c r="O39" s="6">
        <v>21262</v>
      </c>
      <c r="P39" s="3">
        <v>194645171</v>
      </c>
      <c r="Q39" s="181">
        <f t="shared" si="2"/>
        <v>0.11931584131363797</v>
      </c>
    </row>
    <row r="40" spans="2:17" ht="13.5" thickBot="1" x14ac:dyDescent="0.25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>
        <v>42445</v>
      </c>
      <c r="O40" s="6">
        <f>Prayas!C6</f>
        <v>21707</v>
      </c>
      <c r="P40" s="3">
        <f>Prayas!C14</f>
        <v>208439304</v>
      </c>
      <c r="Q40" s="181">
        <f t="shared" ref="Q40" si="3">(P40-P39)/P39</f>
        <v>7.086809772434581E-2</v>
      </c>
    </row>
    <row r="41" spans="2:17" ht="24" x14ac:dyDescent="0.2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83" t="s">
        <v>102</v>
      </c>
      <c r="P41" s="8" t="s">
        <v>40</v>
      </c>
      <c r="Q41" s="9" t="s">
        <v>105</v>
      </c>
    </row>
    <row r="42" spans="2:17" x14ac:dyDescent="0.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290" t="s">
        <v>36</v>
      </c>
      <c r="P42" s="6">
        <f>Prayas!D6-P44-P45</f>
        <v>16349</v>
      </c>
      <c r="Q42" s="281">
        <f>P42/P$46</f>
        <v>0.75316718109365643</v>
      </c>
    </row>
    <row r="43" spans="2:17" x14ac:dyDescent="0.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290" t="s">
        <v>103</v>
      </c>
      <c r="P43" s="6">
        <f>Prayas!E6</f>
        <v>5216</v>
      </c>
      <c r="Q43" s="281">
        <f>P43/P$46</f>
        <v>0.2402911503201732</v>
      </c>
    </row>
    <row r="44" spans="2:17" x14ac:dyDescent="0.2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6" t="s">
        <v>104</v>
      </c>
      <c r="P44">
        <v>59</v>
      </c>
      <c r="Q44" s="281">
        <f>P44/P$46</f>
        <v>2.7180172294651497E-3</v>
      </c>
    </row>
    <row r="45" spans="2:17" x14ac:dyDescent="0.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6" t="s">
        <v>133</v>
      </c>
      <c r="P45">
        <v>83</v>
      </c>
      <c r="Q45" s="281">
        <f>P45/P$46</f>
        <v>3.8236513567052105E-3</v>
      </c>
    </row>
    <row r="46" spans="2:17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277" t="s">
        <v>3</v>
      </c>
      <c r="P46" s="100">
        <f>SUM(P42:P45)</f>
        <v>21707</v>
      </c>
      <c r="Q46" s="6"/>
    </row>
    <row r="47" spans="2:17" x14ac:dyDescent="0.2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278" t="s">
        <v>110</v>
      </c>
      <c r="P47" s="182">
        <f>Prayas!C62</f>
        <v>8777</v>
      </c>
      <c r="Q47" s="279">
        <f>P47/P49</f>
        <v>0.40433961394941725</v>
      </c>
    </row>
    <row r="48" spans="2:17" x14ac:dyDescent="0.2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278" t="s">
        <v>111</v>
      </c>
      <c r="P48" s="182">
        <f>Prayas!C63</f>
        <v>12930</v>
      </c>
      <c r="Q48" s="279">
        <f>P48/P49</f>
        <v>0.5956603860505828</v>
      </c>
    </row>
    <row r="49" spans="2:17" x14ac:dyDescent="0.2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15"/>
      <c r="O49" s="277" t="s">
        <v>3</v>
      </c>
      <c r="P49" s="280">
        <f>SUM(P47:P48)</f>
        <v>21707</v>
      </c>
      <c r="Q49" s="6"/>
    </row>
    <row r="50" spans="2:17" ht="13.5" thickBot="1" x14ac:dyDescent="0.25"/>
    <row r="51" spans="2:17" ht="24" x14ac:dyDescent="0.2">
      <c r="O51" s="183" t="s">
        <v>102</v>
      </c>
      <c r="P51" s="8" t="s">
        <v>37</v>
      </c>
      <c r="Q51" s="9"/>
    </row>
    <row r="52" spans="2:17" x14ac:dyDescent="0.2">
      <c r="O52" s="289" t="s">
        <v>36</v>
      </c>
      <c r="P52" s="3">
        <f>Prayas!D14-P54-P55</f>
        <v>164757123</v>
      </c>
      <c r="Q52" s="282">
        <f>P52/P$56</f>
        <v>0.79043212982518885</v>
      </c>
    </row>
    <row r="53" spans="2:17" x14ac:dyDescent="0.2">
      <c r="O53" s="289" t="s">
        <v>103</v>
      </c>
      <c r="P53" s="3">
        <f>Prayas!E14</f>
        <v>40246663</v>
      </c>
      <c r="Q53" s="282">
        <f>P53/P$56</f>
        <v>0.19308576754794768</v>
      </c>
    </row>
    <row r="54" spans="2:17" x14ac:dyDescent="0.2">
      <c r="O54" s="184" t="s">
        <v>104</v>
      </c>
      <c r="P54" s="283">
        <v>216518</v>
      </c>
      <c r="Q54" s="282">
        <f>P54/P$56</f>
        <v>1.0387580261734131E-3</v>
      </c>
    </row>
    <row r="55" spans="2:17" x14ac:dyDescent="0.2">
      <c r="O55" s="184" t="s">
        <v>133</v>
      </c>
      <c r="P55" s="283">
        <v>3219000</v>
      </c>
      <c r="Q55" s="282">
        <f>P55/P$56</f>
        <v>1.5443344600690089E-2</v>
      </c>
    </row>
    <row r="56" spans="2:17" x14ac:dyDescent="0.2">
      <c r="O56" s="185" t="s">
        <v>3</v>
      </c>
      <c r="P56" s="284">
        <f>SUM(P52:P55)</f>
        <v>208439304</v>
      </c>
      <c r="Q56" s="186"/>
    </row>
    <row r="57" spans="2:17" x14ac:dyDescent="0.2">
      <c r="O57" s="187" t="s">
        <v>110</v>
      </c>
      <c r="P57" s="182">
        <f>Prayas!C60</f>
        <v>58217840.706832185</v>
      </c>
      <c r="Q57" s="188">
        <f>P57/P59</f>
        <v>0.27930356506483145</v>
      </c>
    </row>
    <row r="58" spans="2:17" x14ac:dyDescent="0.2">
      <c r="O58" s="187" t="s">
        <v>111</v>
      </c>
      <c r="P58" s="182">
        <f>Prayas!C61</f>
        <v>150221463.29316783</v>
      </c>
      <c r="Q58" s="188">
        <f>P58/P59</f>
        <v>0.72069643493516866</v>
      </c>
    </row>
    <row r="59" spans="2:17" ht="13.5" thickBot="1" x14ac:dyDescent="0.25">
      <c r="O59" s="190" t="s">
        <v>3</v>
      </c>
      <c r="P59" s="191">
        <f>SUM(P57:P58)</f>
        <v>208439304</v>
      </c>
      <c r="Q59" s="189"/>
    </row>
  </sheetData>
  <mergeCells count="2">
    <mergeCell ref="A2:Q2"/>
    <mergeCell ref="N3:Q3"/>
  </mergeCells>
  <phoneticPr fontId="0" type="noConversion"/>
  <pageMargins left="0.51181102362204722" right="0.23" top="0.23622047244094491" bottom="0.23622047244094491" header="0.51181102362204722" footer="0.51181102362204722"/>
  <pageSetup paperSize="5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Prayas</vt:lpstr>
      <vt:lpstr>Own portfolio</vt:lpstr>
      <vt:lpstr>Manage portfolio-YBL</vt:lpstr>
      <vt:lpstr>Managed portfolio-MFL</vt:lpstr>
      <vt:lpstr>Charts</vt:lpstr>
      <vt:lpstr>'Manage portfolio-YBL'!Print_Area</vt:lpstr>
      <vt:lpstr>'Own portfolio'!Print_Area</vt:lpstr>
      <vt:lpstr>'Manage portfolio-YBL'!Print_Titles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Bhadresh Rawal</cp:lastModifiedBy>
  <cp:lastPrinted>2015-06-03T12:23:30Z</cp:lastPrinted>
  <dcterms:created xsi:type="dcterms:W3CDTF">2007-02-28T09:38:55Z</dcterms:created>
  <dcterms:modified xsi:type="dcterms:W3CDTF">2016-04-07T09:17:45Z</dcterms:modified>
</cp:coreProperties>
</file>